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PPC/Desktop/"/>
    </mc:Choice>
  </mc:AlternateContent>
  <xr:revisionPtr revIDLastSave="0" documentId="13_ncr:1_{5F3BFFFE-EDB7-8344-8AFD-F0EE297BD260}" xr6:coauthVersionLast="47" xr6:coauthVersionMax="47" xr10:uidLastSave="{00000000-0000-0000-0000-000000000000}"/>
  <bookViews>
    <workbookView xWindow="0" yWindow="500" windowWidth="30720" windowHeight="16940" xr2:uid="{00000000-000D-0000-FFFF-FFFF00000000}"/>
  </bookViews>
  <sheets>
    <sheet name="BRUNCH" sheetId="2" r:id="rId1"/>
  </sheets>
  <definedNames>
    <definedName name="COEFICIANT">BRUNCH!#REF!</definedName>
    <definedName name="NOMBRE_DE_PERSONNE_MINIMUN">BRUNCH!$C$6</definedName>
    <definedName name="NOMBRES_DE_PERSONNES">BRUNCH!$C$7</definedName>
    <definedName name="PRIX_DE_VENTE">BRUNCH!#REF!</definedName>
    <definedName name="PRIX_MINI">BRUNCH!$H$7</definedName>
    <definedName name="PRIX_PAR_PERSONNE">BRUNCH!$H$58</definedName>
    <definedName name="_xlnm.Print_Area" localSheetId="0">BRUNCH!$B$2:$H$66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1" i="2" l="1"/>
  <c r="C60" i="2"/>
  <c r="C53" i="2"/>
  <c r="C48" i="2"/>
  <c r="C49" i="2"/>
  <c r="C40" i="2"/>
  <c r="C38" i="2"/>
  <c r="C39" i="2"/>
  <c r="C36" i="2"/>
  <c r="C28" i="2"/>
  <c r="C27" i="2"/>
  <c r="C25" i="2"/>
  <c r="C24" i="2"/>
  <c r="C23" i="2"/>
  <c r="C21" i="2"/>
  <c r="C20" i="2"/>
  <c r="C19" i="2"/>
  <c r="C18" i="2"/>
  <c r="C17" i="2"/>
  <c r="G7" i="2"/>
  <c r="L66" i="2" l="1"/>
  <c r="K66" i="2"/>
  <c r="I66" i="2"/>
  <c r="J66" i="2" s="1"/>
  <c r="K65" i="2"/>
  <c r="I65" i="2"/>
  <c r="J65" i="2" s="1"/>
  <c r="I64" i="2"/>
  <c r="J64" i="2" s="1"/>
  <c r="K64" i="2" s="1"/>
  <c r="C57" i="2"/>
  <c r="K57" i="2"/>
  <c r="O24" i="2" l="1"/>
  <c r="O25" i="2"/>
  <c r="O23" i="2"/>
  <c r="N24" i="2"/>
  <c r="N23" i="2"/>
  <c r="N25" i="2"/>
  <c r="F28" i="2" l="1"/>
  <c r="I28" i="2" s="1"/>
  <c r="C62" i="2"/>
  <c r="C50" i="2"/>
  <c r="C45" i="2"/>
  <c r="C44" i="2"/>
  <c r="C41" i="2"/>
  <c r="C37" i="2"/>
  <c r="F17" i="2" l="1"/>
  <c r="H64" i="2"/>
  <c r="F21" i="2"/>
  <c r="I21" i="2" l="1"/>
  <c r="H21" i="2"/>
  <c r="H17" i="2"/>
  <c r="I17" i="2"/>
  <c r="F65" i="2"/>
  <c r="F66" i="2"/>
  <c r="F64" i="2"/>
  <c r="F60" i="2"/>
  <c r="I60" i="2" s="1"/>
  <c r="J60" i="2" s="1"/>
  <c r="K60" i="2" s="1"/>
  <c r="H60" i="2" l="1"/>
  <c r="F31" i="2"/>
  <c r="H31" i="2" s="1"/>
  <c r="G31" i="2" s="1"/>
  <c r="H65" i="2" l="1"/>
  <c r="H66" i="2"/>
  <c r="F62" i="2"/>
  <c r="F61" i="2"/>
  <c r="F18" i="2"/>
  <c r="I18" i="2" s="1"/>
  <c r="F19" i="2"/>
  <c r="I19" i="2" s="1"/>
  <c r="F20" i="2"/>
  <c r="I20" i="2" s="1"/>
  <c r="F23" i="2"/>
  <c r="I23" i="2" s="1"/>
  <c r="F24" i="2"/>
  <c r="F25" i="2"/>
  <c r="H25" i="2" s="1"/>
  <c r="F27" i="2"/>
  <c r="I27" i="2" s="1"/>
  <c r="F32" i="2"/>
  <c r="H32" i="2" s="1"/>
  <c r="G32" i="2" s="1"/>
  <c r="F33" i="2"/>
  <c r="H33" i="2" s="1"/>
  <c r="G33" i="2" s="1"/>
  <c r="F36" i="2"/>
  <c r="F37" i="2"/>
  <c r="F38" i="2"/>
  <c r="F39" i="2"/>
  <c r="F40" i="2"/>
  <c r="F41" i="2"/>
  <c r="F44" i="2"/>
  <c r="F45" i="2"/>
  <c r="I45" i="2" s="1"/>
  <c r="F48" i="2"/>
  <c r="I48" i="2" s="1"/>
  <c r="J48" i="2" s="1"/>
  <c r="K48" i="2" s="1"/>
  <c r="F49" i="2"/>
  <c r="F50" i="2"/>
  <c r="I50" i="2" s="1"/>
  <c r="J50" i="2" s="1"/>
  <c r="K50" i="2" s="1"/>
  <c r="F53" i="2"/>
  <c r="I53" i="2" s="1"/>
  <c r="J53" i="2" s="1"/>
  <c r="K53" i="2" s="1"/>
  <c r="F54" i="2"/>
  <c r="I54" i="2" s="1"/>
  <c r="J54" i="2" s="1"/>
  <c r="F55" i="2"/>
  <c r="F56" i="2"/>
  <c r="F57" i="2"/>
  <c r="I57" i="2" s="1"/>
  <c r="J57" i="2" s="1"/>
  <c r="L57" i="2" s="1"/>
  <c r="G11" i="2" l="1"/>
  <c r="H55" i="2"/>
  <c r="I55" i="2"/>
  <c r="J55" i="2" s="1"/>
  <c r="L54" i="2"/>
  <c r="K54" i="2"/>
  <c r="I44" i="2"/>
  <c r="J44" i="2" s="1"/>
  <c r="K44" i="2" s="1"/>
  <c r="J45" i="2"/>
  <c r="K45" i="2" s="1"/>
  <c r="I39" i="2"/>
  <c r="H39" i="2"/>
  <c r="I36" i="2"/>
  <c r="J36" i="2" s="1"/>
  <c r="K36" i="2" s="1"/>
  <c r="H36" i="2"/>
  <c r="J18" i="2"/>
  <c r="K18" i="2" s="1"/>
  <c r="H62" i="2"/>
  <c r="I62" i="2"/>
  <c r="J62" i="2" s="1"/>
  <c r="K62" i="2" s="1"/>
  <c r="H61" i="2"/>
  <c r="I61" i="2"/>
  <c r="J61" i="2" s="1"/>
  <c r="K61" i="2" s="1"/>
  <c r="I56" i="2"/>
  <c r="J56" i="2" s="1"/>
  <c r="H56" i="2"/>
  <c r="I49" i="2"/>
  <c r="J49" i="2" s="1"/>
  <c r="K49" i="2" s="1"/>
  <c r="L50" i="2" s="1"/>
  <c r="H24" i="2"/>
  <c r="H23" i="2"/>
  <c r="H41" i="2"/>
  <c r="I41" i="2"/>
  <c r="J41" i="2" s="1"/>
  <c r="K41" i="2" s="1"/>
  <c r="I40" i="2"/>
  <c r="J40" i="2" s="1"/>
  <c r="K40" i="2" s="1"/>
  <c r="H40" i="2"/>
  <c r="H38" i="2"/>
  <c r="I38" i="2"/>
  <c r="J38" i="2" s="1"/>
  <c r="K38" i="2" s="1"/>
  <c r="J39" i="2"/>
  <c r="K39" i="2" s="1"/>
  <c r="H37" i="2"/>
  <c r="I37" i="2"/>
  <c r="J37" i="2" s="1"/>
  <c r="K37" i="2" s="1"/>
  <c r="H28" i="2"/>
  <c r="H27" i="2"/>
  <c r="J28" i="2"/>
  <c r="K28" i="2" s="1"/>
  <c r="I24" i="2"/>
  <c r="J24" i="2" s="1"/>
  <c r="K24" i="2" s="1"/>
  <c r="I25" i="2"/>
  <c r="J25" i="2" s="1"/>
  <c r="K25" i="2" s="1"/>
  <c r="J23" i="2"/>
  <c r="K23" i="2" s="1"/>
  <c r="H20" i="2"/>
  <c r="J20" i="2"/>
  <c r="K20" i="2" s="1"/>
  <c r="H18" i="2"/>
  <c r="H19" i="2"/>
  <c r="J19" i="2"/>
  <c r="K19" i="2" s="1"/>
  <c r="J21" i="2"/>
  <c r="K21" i="2" s="1"/>
  <c r="J17" i="2"/>
  <c r="G10" i="2"/>
  <c r="H50" i="2"/>
  <c r="H49" i="2"/>
  <c r="H48" i="2"/>
  <c r="H54" i="2"/>
  <c r="H53" i="2"/>
  <c r="H57" i="2"/>
  <c r="H45" i="2"/>
  <c r="H44" i="2"/>
  <c r="L55" i="2" l="1"/>
  <c r="K55" i="2"/>
  <c r="L45" i="2"/>
  <c r="L62" i="2"/>
  <c r="K56" i="2"/>
  <c r="L56" i="2"/>
  <c r="L41" i="2"/>
  <c r="L26" i="2"/>
  <c r="J27" i="2"/>
  <c r="K27" i="2" s="1"/>
  <c r="L29" i="2" s="1"/>
  <c r="L25" i="2"/>
  <c r="L24" i="2"/>
  <c r="L23" i="2"/>
  <c r="L18" i="2"/>
  <c r="L21" i="2"/>
  <c r="L19" i="2"/>
  <c r="L20" i="2"/>
  <c r="L17" i="2"/>
  <c r="K17" i="2"/>
  <c r="L22" i="2" s="1"/>
  <c r="H11" i="2"/>
  <c r="H12" i="2" s="1"/>
  <c r="I12" i="2"/>
  <c r="L58" i="2" l="1"/>
  <c r="M66" i="2"/>
  <c r="G12" i="2"/>
  <c r="K7" i="2"/>
  <c r="H9" i="2"/>
  <c r="G9" i="2" s="1"/>
  <c r="H10" i="2"/>
  <c r="N6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Laurent PARMENTIER</author>
  </authors>
  <commentList>
    <comment ref="C7" authorId="0" shapeId="0" xr:uid="{00000000-0006-0000-0000-000001000000}">
      <text>
        <r>
          <rPr>
            <b/>
            <sz val="10"/>
            <color rgb="FF000000"/>
            <rFont val="Tahoma"/>
            <family val="2"/>
          </rPr>
          <t>INDIQUER VOTRE SOUHAIT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G7" authorId="0" shapeId="0" xr:uid="{5F477685-BCC9-824C-8767-C930C6C04AD6}">
      <text>
        <r>
          <rPr>
            <b/>
            <sz val="10"/>
            <color rgb="FF000000"/>
            <rFont val="Tahoma"/>
            <family val="2"/>
          </rPr>
          <t>CALCUL AUTOMATIQUE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H7" authorId="0" shapeId="0" xr:uid="{00000000-0006-0000-0000-000002000000}">
      <text>
        <r>
          <rPr>
            <b/>
            <sz val="10"/>
            <color rgb="FF000000"/>
            <rFont val="Tahoma"/>
            <family val="2"/>
          </rPr>
          <t>CALCUL AUTOMATIQUE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D17" authorId="0" shapeId="0" xr:uid="{00000000-0006-0000-0000-000003000000}">
      <text>
        <r>
          <rPr>
            <b/>
            <sz val="10"/>
            <color rgb="FF000000"/>
            <rFont val="Tahoma"/>
            <family val="2"/>
          </rPr>
          <t>COCHER VOTRE CHOIX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<sst xmlns="http://schemas.openxmlformats.org/spreadsheetml/2006/main" count="69" uniqueCount="64">
  <si>
    <t>LE BRUNCH DU DOMAINE DE SEGUR</t>
  </si>
  <si>
    <t>Sous forme de buffet et élaboré à base de produits frais et locaux.
Mise en place et approvisionnement du buffet compris. Couverts Inox, Ecocup, gobelets et assiettes fournies.</t>
  </si>
  <si>
    <t>à partir de 21,50 € HT soit 23,65 € TTC par personnes</t>
  </si>
  <si>
    <t>NOMBRE DE PERSONNE MINIMUN</t>
  </si>
  <si>
    <t>PRIX MINI</t>
  </si>
  <si>
    <t>PRIX
MINI</t>
  </si>
  <si>
    <t>OUI</t>
  </si>
  <si>
    <t>VOTRE NOMBRE DE PERSONNES</t>
  </si>
  <si>
    <t>NON</t>
  </si>
  <si>
    <t>VOTRE TARIF TOTAL</t>
  </si>
  <si>
    <t>VOTRE TARIF UNITAIRE</t>
  </si>
  <si>
    <t>Le salé</t>
  </si>
  <si>
    <r>
      <t xml:space="preserve">Bar à Salades - </t>
    </r>
    <r>
      <rPr>
        <b/>
        <sz val="12"/>
        <color rgb="FFFF0000"/>
        <rFont val="Calibri (Corps)"/>
      </rPr>
      <t>3 sélections au choix MAXI</t>
    </r>
  </si>
  <si>
    <t>OBSERVATION</t>
  </si>
  <si>
    <t>BASE</t>
  </si>
  <si>
    <t>SOLDE</t>
  </si>
  <si>
    <t>Carottes râpées (citron, herbes fraîches)</t>
  </si>
  <si>
    <t>Salade grecque (tomate, concombre, fêta, olive, menthe) </t>
  </si>
  <si>
    <t>Salade de pâtes italienne (Tomate, jambon cru) </t>
  </si>
  <si>
    <t>Salade piemontaise (pomme de terre, tomate, œuf, jambon ou poulet, cornichon, mayonnaise)</t>
  </si>
  <si>
    <t>Taboulet oriental (tomate, concombre, raisin, menthe fraîche, huile d'olive).</t>
  </si>
  <si>
    <t>Viandes froides &amp; Poisson froid, en buffet</t>
  </si>
  <si>
    <t>Rôti de bœuf </t>
  </si>
  <si>
    <t>Rôti de porc </t>
  </si>
  <si>
    <t>Saumon Gravelax</t>
  </si>
  <si>
    <t>Chaud - Cuisson plancha</t>
  </si>
  <si>
    <t>Aiguillettes de poulet marinées (avec tagliatelles de légumes d'été)</t>
  </si>
  <si>
    <t>Aiguillettes de bœuf marinées (avec tagliatelles de légumes d'été)</t>
  </si>
  <si>
    <r>
      <t xml:space="preserve">Sauces maison - </t>
    </r>
    <r>
      <rPr>
        <b/>
        <sz val="12"/>
        <color rgb="FFFF0000"/>
        <rFont val="Calibri (Corps)"/>
      </rPr>
      <t>2 sélections au choix</t>
    </r>
  </si>
  <si>
    <t>Mayonnaise nature</t>
  </si>
  <si>
    <t>OFFERT</t>
  </si>
  <si>
    <t>Mayonnaise type aïoli</t>
  </si>
  <si>
    <t>Mayonnaise aux herbes fraîches</t>
  </si>
  <si>
    <t xml:space="preserve">Plateau de charcuterie : </t>
  </si>
  <si>
    <t>Jambon blanc </t>
  </si>
  <si>
    <t>Jambon cru </t>
  </si>
  <si>
    <t>Saucisson sec (Rosette) </t>
  </si>
  <si>
    <t>Terrine de campagne </t>
  </si>
  <si>
    <t>Rillettes (Porc) </t>
  </si>
  <si>
    <t>Rillettes (Canard) </t>
  </si>
  <si>
    <t>Fromages</t>
  </si>
  <si>
    <t>Tomme </t>
  </si>
  <si>
    <t>Brie </t>
  </si>
  <si>
    <t>Desserts</t>
  </si>
  <si>
    <t>Salade de fruits de saison</t>
  </si>
  <si>
    <t>Verrine panna cotta fraise</t>
  </si>
  <si>
    <t>Entremet chocolat fêve Tonka</t>
  </si>
  <si>
    <t>Les boissons</t>
  </si>
  <si>
    <t>Café et thé à volonté </t>
  </si>
  <si>
    <t>Pain en panière </t>
  </si>
  <si>
    <t>Eau minérale 50 cl par personne</t>
  </si>
  <si>
    <t>Eau gazeuse 50 cl par personne</t>
  </si>
  <si>
    <t>Jus de fruit 25 cl par personne</t>
  </si>
  <si>
    <t>de 1 litre</t>
  </si>
  <si>
    <t>Le sucré</t>
  </si>
  <si>
    <t>Mini viennoiseries (croissants / chocolatines / pains aux raisins)</t>
  </si>
  <si>
    <t>Pain aux fruits secs (pistaches / graines / cranberries …)</t>
  </si>
  <si>
    <t>Pain des palombes aux graines</t>
  </si>
  <si>
    <t>NBRE</t>
  </si>
  <si>
    <t>Confitures du Domaine (le pôt de 450 gr)</t>
  </si>
  <si>
    <t>Miel du Domaine (le pôt de 400 gr)</t>
  </si>
  <si>
    <t>TOTAL COUT</t>
  </si>
  <si>
    <t>MARGE</t>
  </si>
  <si>
    <t>Chocolat au lait (en thermos d'un litre)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</si>
</sst>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* #,##0.00_)\ &quot;€&quot;_ ;_ * \(#,##0.00\)\ &quot;€&quot;_ ;_ * &quot;-&quot;??_)\ &quot;€&quot;_ ;_ @_ "/>
    <numFmt numFmtId="164" formatCode="_ * #,##0.00_)\ _€_ ;_ * \(#,##0.00\)\ _€_ ;_ * &quot;-&quot;??_)\ _€_ ;_ @_ "/>
    <numFmt numFmtId="165" formatCode="0&quot; kg&quot;"/>
    <numFmt numFmtId="166" formatCode="0&quot; saumons&quot;"/>
    <numFmt numFmtId="167" formatCode="0.00&quot; kg&quot;"/>
    <numFmt numFmtId="168" formatCode="0&quot; verrines&quot;"/>
    <numFmt numFmtId="169" formatCode="0&quot; baguettes&quot;"/>
    <numFmt numFmtId="170" formatCode="0&quot; packs&quot;"/>
    <numFmt numFmtId="171" formatCode="0&quot; bouteilles&quot;"/>
  </numFmts>
  <fonts count="4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20"/>
      <color theme="1"/>
      <name val="Arial Gras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0"/>
      <name val="Calibri"/>
      <family val="2"/>
      <scheme val="minor"/>
    </font>
    <font>
      <sz val="18"/>
      <color theme="1"/>
      <name val="Arial Bold"/>
    </font>
    <font>
      <sz val="12"/>
      <color theme="1"/>
      <name val="Arial Bold"/>
    </font>
    <font>
      <b/>
      <sz val="12"/>
      <color theme="1"/>
      <name val="Arial Bold"/>
    </font>
    <font>
      <b/>
      <sz val="12"/>
      <color rgb="FFFF0000"/>
      <name val="Calibri (Corps)"/>
    </font>
    <font>
      <b/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B050"/>
      <name val="Calibri"/>
      <family val="2"/>
      <scheme val="minor"/>
    </font>
    <font>
      <i/>
      <sz val="12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Arial Gras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vertical="center" wrapText="1"/>
    </xf>
    <xf numFmtId="0" fontId="16" fillId="0" borderId="0" xfId="0" applyFont="1"/>
    <xf numFmtId="44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/>
    <xf numFmtId="0" fontId="18" fillId="0" borderId="0" xfId="0" applyFont="1"/>
    <xf numFmtId="0" fontId="0" fillId="0" borderId="16" xfId="0" applyBorder="1" applyAlignment="1">
      <alignment vertical="center" wrapText="1"/>
    </xf>
    <xf numFmtId="44" fontId="0" fillId="0" borderId="16" xfId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44" fontId="14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44" fontId="0" fillId="0" borderId="19" xfId="1" applyFont="1" applyBorder="1" applyAlignment="1">
      <alignment vertical="center"/>
    </xf>
    <xf numFmtId="0" fontId="0" fillId="0" borderId="19" xfId="0" applyBorder="1" applyAlignment="1">
      <alignment vertical="center"/>
    </xf>
    <xf numFmtId="44" fontId="0" fillId="0" borderId="25" xfId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19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0" fillId="33" borderId="16" xfId="0" applyFill="1" applyBorder="1" applyAlignment="1">
      <alignment horizontal="center" vertical="center"/>
    </xf>
    <xf numFmtId="0" fontId="0" fillId="33" borderId="16" xfId="0" applyFill="1" applyBorder="1" applyAlignment="1">
      <alignment vertical="center" wrapText="1"/>
    </xf>
    <xf numFmtId="44" fontId="0" fillId="33" borderId="10" xfId="1" applyFont="1" applyFill="1" applyBorder="1" applyAlignment="1">
      <alignment vertical="center"/>
    </xf>
    <xf numFmtId="0" fontId="0" fillId="33" borderId="12" xfId="0" applyFill="1" applyBorder="1" applyAlignment="1">
      <alignment vertical="center"/>
    </xf>
    <xf numFmtId="44" fontId="0" fillId="33" borderId="11" xfId="1" applyFont="1" applyFill="1" applyBorder="1" applyAlignment="1">
      <alignment vertical="center"/>
    </xf>
    <xf numFmtId="0" fontId="14" fillId="0" borderId="0" xfId="0" applyFont="1"/>
    <xf numFmtId="44" fontId="1" fillId="0" borderId="16" xfId="1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44" fontId="24" fillId="36" borderId="10" xfId="1" applyFont="1" applyFill="1" applyBorder="1" applyAlignment="1">
      <alignment vertical="center"/>
    </xf>
    <xf numFmtId="44" fontId="25" fillId="36" borderId="11" xfId="1" applyFont="1" applyFill="1" applyBorder="1" applyAlignment="1">
      <alignment vertical="center"/>
    </xf>
    <xf numFmtId="44" fontId="24" fillId="36" borderId="28" xfId="1" applyFont="1" applyFill="1" applyBorder="1" applyAlignment="1">
      <alignment vertical="center"/>
    </xf>
    <xf numFmtId="44" fontId="24" fillId="36" borderId="0" xfId="1" applyFont="1" applyFill="1" applyBorder="1" applyAlignment="1">
      <alignment vertical="center"/>
    </xf>
    <xf numFmtId="44" fontId="25" fillId="36" borderId="0" xfId="1" applyFont="1" applyFill="1" applyBorder="1" applyAlignment="1">
      <alignment vertical="center"/>
    </xf>
    <xf numFmtId="44" fontId="24" fillId="36" borderId="12" xfId="1" applyFont="1" applyFill="1" applyBorder="1" applyAlignment="1">
      <alignment vertical="center"/>
    </xf>
    <xf numFmtId="44" fontId="25" fillId="36" borderId="12" xfId="1" applyFont="1" applyFill="1" applyBorder="1" applyAlignment="1">
      <alignment vertical="center"/>
    </xf>
    <xf numFmtId="44" fontId="24" fillId="36" borderId="32" xfId="1" applyFont="1" applyFill="1" applyBorder="1" applyAlignment="1">
      <alignment vertical="center"/>
    </xf>
    <xf numFmtId="44" fontId="25" fillId="36" borderId="20" xfId="1" applyFont="1" applyFill="1" applyBorder="1" applyAlignment="1">
      <alignment vertical="center"/>
    </xf>
    <xf numFmtId="44" fontId="24" fillId="36" borderId="33" xfId="1" applyFont="1" applyFill="1" applyBorder="1" applyAlignment="1">
      <alignment vertical="center"/>
    </xf>
    <xf numFmtId="0" fontId="27" fillId="34" borderId="25" xfId="0" applyFont="1" applyFill="1" applyBorder="1" applyAlignment="1">
      <alignment vertical="center"/>
    </xf>
    <xf numFmtId="0" fontId="27" fillId="34" borderId="16" xfId="0" applyFont="1" applyFill="1" applyBorder="1" applyAlignment="1">
      <alignment vertical="center"/>
    </xf>
    <xf numFmtId="0" fontId="17" fillId="36" borderId="16" xfId="0" applyFont="1" applyFill="1" applyBorder="1" applyAlignment="1">
      <alignment vertical="center"/>
    </xf>
    <xf numFmtId="0" fontId="19" fillId="0" borderId="0" xfId="0" applyFont="1"/>
    <xf numFmtId="0" fontId="29" fillId="0" borderId="0" xfId="0" applyFont="1"/>
    <xf numFmtId="44" fontId="16" fillId="0" borderId="26" xfId="0" applyNumberFormat="1" applyFont="1" applyBorder="1" applyAlignment="1">
      <alignment vertical="center" wrapText="1"/>
    </xf>
    <xf numFmtId="44" fontId="16" fillId="0" borderId="12" xfId="0" applyNumberFormat="1" applyFont="1" applyBorder="1" applyAlignment="1">
      <alignment vertical="center" wrapText="1"/>
    </xf>
    <xf numFmtId="44" fontId="14" fillId="0" borderId="0" xfId="0" applyNumberFormat="1" applyFont="1" applyAlignment="1">
      <alignment vertical="center"/>
    </xf>
    <xf numFmtId="0" fontId="0" fillId="0" borderId="16" xfId="1" applyNumberFormat="1" applyFont="1" applyBorder="1" applyAlignment="1">
      <alignment horizontal="center" vertical="center"/>
    </xf>
    <xf numFmtId="0" fontId="30" fillId="0" borderId="0" xfId="0" applyFont="1"/>
    <xf numFmtId="44" fontId="17" fillId="0" borderId="0" xfId="0" applyNumberFormat="1" applyFont="1"/>
    <xf numFmtId="0" fontId="0" fillId="33" borderId="11" xfId="0" applyFill="1" applyBorder="1" applyAlignment="1">
      <alignment horizontal="center" vertical="center"/>
    </xf>
    <xf numFmtId="0" fontId="17" fillId="0" borderId="16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25" xfId="0" applyFont="1" applyBorder="1" applyAlignment="1">
      <alignment vertical="center"/>
    </xf>
    <xf numFmtId="44" fontId="30" fillId="0" borderId="0" xfId="0" applyNumberFormat="1" applyFont="1"/>
    <xf numFmtId="0" fontId="13" fillId="0" borderId="0" xfId="0" applyFont="1"/>
    <xf numFmtId="0" fontId="33" fillId="0" borderId="29" xfId="0" applyFont="1" applyBorder="1" applyAlignment="1">
      <alignment horizontal="right" vertical="center" wrapText="1"/>
    </xf>
    <xf numFmtId="0" fontId="32" fillId="0" borderId="31" xfId="0" applyFont="1" applyBorder="1" applyAlignment="1">
      <alignment horizontal="right" vertical="center" wrapText="1"/>
    </xf>
    <xf numFmtId="0" fontId="16" fillId="37" borderId="0" xfId="0" applyFont="1" applyFill="1" applyAlignment="1">
      <alignment vertical="center" wrapText="1"/>
    </xf>
    <xf numFmtId="0" fontId="16" fillId="37" borderId="14" xfId="0" applyFont="1" applyFill="1" applyBorder="1" applyAlignment="1">
      <alignment vertical="center" wrapText="1"/>
    </xf>
    <xf numFmtId="0" fontId="16" fillId="37" borderId="12" xfId="0" applyFont="1" applyFill="1" applyBorder="1" applyAlignment="1">
      <alignment vertical="center" wrapText="1"/>
    </xf>
    <xf numFmtId="0" fontId="16" fillId="37" borderId="26" xfId="0" applyFont="1" applyFill="1" applyBorder="1" applyAlignment="1">
      <alignment vertical="center" wrapText="1"/>
    </xf>
    <xf numFmtId="0" fontId="35" fillId="0" borderId="0" xfId="0" applyFont="1" applyAlignment="1">
      <alignment horizontal="right" vertical="center" wrapText="1"/>
    </xf>
    <xf numFmtId="0" fontId="3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7" fillId="0" borderId="34" xfId="0" applyFont="1" applyBorder="1"/>
    <xf numFmtId="44" fontId="0" fillId="0" borderId="35" xfId="1" applyFont="1" applyBorder="1"/>
    <xf numFmtId="165" fontId="14" fillId="0" borderId="0" xfId="0" applyNumberFormat="1" applyFont="1"/>
    <xf numFmtId="44" fontId="0" fillId="0" borderId="20" xfId="1" applyFont="1" applyBorder="1"/>
    <xf numFmtId="44" fontId="0" fillId="0" borderId="36" xfId="1" applyFont="1" applyBorder="1"/>
    <xf numFmtId="165" fontId="37" fillId="0" borderId="26" xfId="0" applyNumberFormat="1" applyFont="1" applyBorder="1"/>
    <xf numFmtId="0" fontId="37" fillId="0" borderId="32" xfId="0" applyFont="1" applyBorder="1"/>
    <xf numFmtId="166" fontId="14" fillId="0" borderId="0" xfId="0" applyNumberFormat="1" applyFont="1"/>
    <xf numFmtId="0" fontId="37" fillId="0" borderId="37" xfId="0" applyFont="1" applyBorder="1"/>
    <xf numFmtId="0" fontId="37" fillId="0" borderId="16" xfId="0" applyFont="1" applyBorder="1"/>
    <xf numFmtId="165" fontId="37" fillId="0" borderId="16" xfId="0" applyNumberFormat="1" applyFont="1" applyBorder="1"/>
    <xf numFmtId="44" fontId="0" fillId="0" borderId="16" xfId="1" applyFont="1" applyBorder="1"/>
    <xf numFmtId="167" fontId="37" fillId="0" borderId="26" xfId="0" applyNumberFormat="1" applyFont="1" applyBorder="1"/>
    <xf numFmtId="167" fontId="37" fillId="0" borderId="0" xfId="0" applyNumberFormat="1" applyFont="1"/>
    <xf numFmtId="167" fontId="37" fillId="0" borderId="14" xfId="0" applyNumberFormat="1" applyFont="1" applyBorder="1"/>
    <xf numFmtId="44" fontId="38" fillId="34" borderId="16" xfId="0" applyNumberFormat="1" applyFont="1" applyFill="1" applyBorder="1"/>
    <xf numFmtId="2" fontId="37" fillId="0" borderId="16" xfId="0" applyNumberFormat="1" applyFont="1" applyBorder="1"/>
    <xf numFmtId="44" fontId="38" fillId="34" borderId="16" xfId="0" applyNumberFormat="1" applyFont="1" applyFill="1" applyBorder="1" applyAlignment="1">
      <alignment vertical="center"/>
    </xf>
    <xf numFmtId="167" fontId="37" fillId="0" borderId="16" xfId="0" applyNumberFormat="1" applyFont="1" applyBorder="1"/>
    <xf numFmtId="168" fontId="37" fillId="0" borderId="16" xfId="0" applyNumberFormat="1" applyFont="1" applyBorder="1"/>
    <xf numFmtId="169" fontId="37" fillId="0" borderId="0" xfId="0" applyNumberFormat="1" applyFont="1"/>
    <xf numFmtId="169" fontId="14" fillId="0" borderId="0" xfId="1" applyNumberFormat="1" applyFont="1"/>
    <xf numFmtId="1" fontId="37" fillId="0" borderId="0" xfId="0" applyNumberFormat="1" applyFont="1"/>
    <xf numFmtId="170" fontId="14" fillId="0" borderId="0" xfId="1" applyNumberFormat="1" applyFont="1"/>
    <xf numFmtId="1" fontId="37" fillId="0" borderId="14" xfId="0" applyNumberFormat="1" applyFont="1" applyBorder="1"/>
    <xf numFmtId="171" fontId="14" fillId="0" borderId="0" xfId="1" applyNumberFormat="1" applyFont="1"/>
    <xf numFmtId="1" fontId="37" fillId="0" borderId="26" xfId="0" applyNumberFormat="1" applyFont="1" applyBorder="1"/>
    <xf numFmtId="44" fontId="27" fillId="0" borderId="16" xfId="0" applyNumberFormat="1" applyFont="1" applyBorder="1"/>
    <xf numFmtId="44" fontId="29" fillId="0" borderId="16" xfId="0" applyNumberFormat="1" applyFont="1" applyBorder="1"/>
    <xf numFmtId="0" fontId="16" fillId="34" borderId="12" xfId="0" applyFont="1" applyFill="1" applyBorder="1" applyAlignment="1">
      <alignment vertical="center" wrapText="1"/>
    </xf>
    <xf numFmtId="0" fontId="39" fillId="0" borderId="0" xfId="0" applyFont="1"/>
    <xf numFmtId="0" fontId="13" fillId="38" borderId="26" xfId="0" applyFont="1" applyFill="1" applyBorder="1" applyAlignment="1">
      <alignment vertical="center" wrapText="1"/>
    </xf>
    <xf numFmtId="0" fontId="13" fillId="38" borderId="14" xfId="0" applyFont="1" applyFill="1" applyBorder="1" applyAlignment="1">
      <alignment vertical="center" wrapText="1"/>
    </xf>
    <xf numFmtId="2" fontId="0" fillId="0" borderId="0" xfId="0" applyNumberFormat="1"/>
    <xf numFmtId="0" fontId="31" fillId="0" borderId="0" xfId="0" applyFont="1" applyAlignment="1" applyProtection="1">
      <alignment horizontal="center" vertical="center" wrapText="1"/>
      <protection locked="0"/>
    </xf>
    <xf numFmtId="0" fontId="32" fillId="0" borderId="22" xfId="0" applyFont="1" applyBorder="1" applyAlignment="1">
      <alignment horizontal="right" vertical="center" wrapText="1"/>
    </xf>
    <xf numFmtId="0" fontId="32" fillId="0" borderId="24" xfId="0" applyFont="1" applyBorder="1" applyAlignment="1">
      <alignment horizontal="right" vertical="center" wrapText="1"/>
    </xf>
    <xf numFmtId="37" fontId="26" fillId="34" borderId="23" xfId="43" applyNumberFormat="1" applyFont="1" applyFill="1" applyBorder="1" applyAlignment="1" applyProtection="1">
      <alignment horizontal="center" vertical="center"/>
      <protection locked="0"/>
    </xf>
    <xf numFmtId="37" fontId="26" fillId="34" borderId="30" xfId="43" applyNumberFormat="1" applyFont="1" applyFill="1" applyBorder="1" applyAlignment="1" applyProtection="1">
      <alignment horizontal="center" vertical="center"/>
      <protection locked="0"/>
    </xf>
    <xf numFmtId="37" fontId="26" fillId="34" borderId="16" xfId="43" applyNumberFormat="1" applyFont="1" applyFill="1" applyBorder="1" applyAlignment="1" applyProtection="1">
      <alignment horizontal="center" vertical="center"/>
      <protection locked="0"/>
    </xf>
    <xf numFmtId="37" fontId="26" fillId="34" borderId="10" xfId="43" applyNumberFormat="1" applyFont="1" applyFill="1" applyBorder="1" applyAlignment="1" applyProtection="1">
      <alignment horizontal="center" vertical="center"/>
      <protection locked="0"/>
    </xf>
    <xf numFmtId="44" fontId="19" fillId="34" borderId="17" xfId="1" applyFont="1" applyFill="1" applyBorder="1" applyAlignment="1">
      <alignment horizontal="center" vertical="center"/>
    </xf>
    <xf numFmtId="44" fontId="19" fillId="34" borderId="15" xfId="1" applyFont="1" applyFill="1" applyBorder="1" applyAlignment="1">
      <alignment horizontal="center" vertical="center"/>
    </xf>
    <xf numFmtId="44" fontId="19" fillId="34" borderId="20" xfId="1" applyFont="1" applyFill="1" applyBorder="1" applyAlignment="1">
      <alignment horizontal="center" vertical="center"/>
    </xf>
    <xf numFmtId="44" fontId="19" fillId="34" borderId="21" xfId="1" applyFont="1" applyFill="1" applyBorder="1" applyAlignment="1">
      <alignment horizontal="center" vertical="center"/>
    </xf>
    <xf numFmtId="44" fontId="28" fillId="35" borderId="13" xfId="1" applyFont="1" applyFill="1" applyBorder="1" applyAlignment="1" applyProtection="1">
      <alignment horizontal="center" vertical="center"/>
      <protection hidden="1"/>
    </xf>
    <xf numFmtId="44" fontId="28" fillId="35" borderId="18" xfId="1" applyFont="1" applyFill="1" applyBorder="1" applyAlignment="1" applyProtection="1">
      <alignment horizontal="center" vertical="center"/>
      <protection hidden="1"/>
    </xf>
    <xf numFmtId="1" fontId="35" fillId="0" borderId="0" xfId="1" applyNumberFormat="1" applyFont="1" applyBorder="1" applyAlignment="1" applyProtection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4" fillId="38" borderId="26" xfId="0" applyFont="1" applyFill="1" applyBorder="1" applyAlignment="1">
      <alignment horizontal="left" vertical="center" wrapText="1"/>
    </xf>
    <xf numFmtId="0" fontId="24" fillId="38" borderId="14" xfId="0" applyFont="1" applyFill="1" applyBorder="1" applyAlignment="1">
      <alignment horizontal="left" vertical="center" wrapText="1"/>
    </xf>
    <xf numFmtId="0" fontId="23" fillId="0" borderId="27" xfId="0" applyFont="1" applyBorder="1" applyAlignment="1">
      <alignment horizontal="center" vertical="center" wrapText="1"/>
    </xf>
    <xf numFmtId="0" fontId="16" fillId="37" borderId="26" xfId="0" applyFont="1" applyFill="1" applyBorder="1" applyAlignment="1">
      <alignment horizontal="left" vertical="center" wrapText="1"/>
    </xf>
    <xf numFmtId="0" fontId="16" fillId="37" borderId="14" xfId="0" applyFont="1" applyFill="1" applyBorder="1" applyAlignment="1">
      <alignment horizontal="left" vertical="center" wrapText="1"/>
    </xf>
    <xf numFmtId="0" fontId="40" fillId="38" borderId="0" xfId="0" applyFont="1" applyFill="1" applyAlignment="1">
      <alignment horizontal="left" vertical="center" wrapText="1"/>
    </xf>
    <xf numFmtId="0" fontId="16" fillId="37" borderId="0" xfId="0" applyFont="1" applyFill="1" applyAlignment="1">
      <alignment horizontal="left" vertical="center" wrapText="1"/>
    </xf>
    <xf numFmtId="0" fontId="16" fillId="37" borderId="19" xfId="0" applyFont="1" applyFill="1" applyBorder="1" applyAlignment="1">
      <alignment horizontal="center" vertical="center" wrapText="1"/>
    </xf>
    <xf numFmtId="0" fontId="16" fillId="37" borderId="25" xfId="0" applyFont="1" applyFill="1" applyBorder="1" applyAlignment="1">
      <alignment horizontal="center" vertical="center" wrapText="1"/>
    </xf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43" builtinId="3"/>
    <cellStyle name="Monétaire" xfId="1" builtinId="4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colors>
    <mruColors>
      <color rgb="FF77E7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E$23" lockText="1" noThreeD="1"/>
</file>

<file path=xl/ctrlProps/ctrlProp10.xml><?xml version="1.0" encoding="utf-8"?>
<formControlPr xmlns="http://schemas.microsoft.com/office/spreadsheetml/2009/9/main" objectType="CheckBox" fmlaLink="$E$38" lockText="1" noThreeD="1"/>
</file>

<file path=xl/ctrlProps/ctrlProp11.xml><?xml version="1.0" encoding="utf-8"?>
<formControlPr xmlns="http://schemas.microsoft.com/office/spreadsheetml/2009/9/main" objectType="CheckBox" fmlaLink="$E$39" lockText="1" noThreeD="1"/>
</file>

<file path=xl/ctrlProps/ctrlProp12.xml><?xml version="1.0" encoding="utf-8"?>
<formControlPr xmlns="http://schemas.microsoft.com/office/spreadsheetml/2009/9/main" objectType="CheckBox" fmlaLink="$E$40" lockText="1" noThreeD="1"/>
</file>

<file path=xl/ctrlProps/ctrlProp13.xml><?xml version="1.0" encoding="utf-8"?>
<formControlPr xmlns="http://schemas.microsoft.com/office/spreadsheetml/2009/9/main" objectType="CheckBox" fmlaLink="$E$44" lockText="1" noThreeD="1"/>
</file>

<file path=xl/ctrlProps/ctrlProp14.xml><?xml version="1.0" encoding="utf-8"?>
<formControlPr xmlns="http://schemas.microsoft.com/office/spreadsheetml/2009/9/main" objectType="CheckBox" fmlaLink="$E$45" lockText="1" noThreeD="1"/>
</file>

<file path=xl/ctrlProps/ctrlProp15.xml><?xml version="1.0" encoding="utf-8"?>
<formControlPr xmlns="http://schemas.microsoft.com/office/spreadsheetml/2009/9/main" objectType="CheckBox" fmlaLink="$E$48" lockText="1" noThreeD="1"/>
</file>

<file path=xl/ctrlProps/ctrlProp16.xml><?xml version="1.0" encoding="utf-8"?>
<formControlPr xmlns="http://schemas.microsoft.com/office/spreadsheetml/2009/9/main" objectType="CheckBox" fmlaLink="$E$49" lockText="1" noThreeD="1"/>
</file>

<file path=xl/ctrlProps/ctrlProp17.xml><?xml version="1.0" encoding="utf-8"?>
<formControlPr xmlns="http://schemas.microsoft.com/office/spreadsheetml/2009/9/main" objectType="CheckBox" fmlaLink="$E$50" lockText="1" noThreeD="1"/>
</file>

<file path=xl/ctrlProps/ctrlProp18.xml><?xml version="1.0" encoding="utf-8"?>
<formControlPr xmlns="http://schemas.microsoft.com/office/spreadsheetml/2009/9/main" objectType="CheckBox" fmlaLink="$E$53" lockText="1" noThreeD="1"/>
</file>

<file path=xl/ctrlProps/ctrlProp19.xml><?xml version="1.0" encoding="utf-8"?>
<formControlPr xmlns="http://schemas.microsoft.com/office/spreadsheetml/2009/9/main" objectType="CheckBox" fmlaLink="$E$54" lockText="1" noThreeD="1"/>
</file>

<file path=xl/ctrlProps/ctrlProp2.xml><?xml version="1.0" encoding="utf-8"?>
<formControlPr xmlns="http://schemas.microsoft.com/office/spreadsheetml/2009/9/main" objectType="CheckBox" fmlaLink="$E$24" lockText="1" noThreeD="1"/>
</file>

<file path=xl/ctrlProps/ctrlProp20.xml><?xml version="1.0" encoding="utf-8"?>
<formControlPr xmlns="http://schemas.microsoft.com/office/spreadsheetml/2009/9/main" objectType="CheckBox" fmlaLink="$E$55" lockText="1" noThreeD="1"/>
</file>

<file path=xl/ctrlProps/ctrlProp21.xml><?xml version="1.0" encoding="utf-8"?>
<formControlPr xmlns="http://schemas.microsoft.com/office/spreadsheetml/2009/9/main" objectType="CheckBox" fmlaLink="$E$57" lockText="1" noThreeD="1"/>
</file>

<file path=xl/ctrlProps/ctrlProp22.xml><?xml version="1.0" encoding="utf-8"?>
<formControlPr xmlns="http://schemas.microsoft.com/office/spreadsheetml/2009/9/main" objectType="CheckBox" fmlaLink="$E$41" lockText="1" noThreeD="1"/>
</file>

<file path=xl/ctrlProps/ctrlProp23.xml><?xml version="1.0" encoding="utf-8"?>
<formControlPr xmlns="http://schemas.microsoft.com/office/spreadsheetml/2009/9/main" objectType="CheckBox" fmlaLink="$E$56" lockText="1" noThreeD="1"/>
</file>

<file path=xl/ctrlProps/ctrlProp24.xml><?xml version="1.0" encoding="utf-8"?>
<formControlPr xmlns="http://schemas.microsoft.com/office/spreadsheetml/2009/9/main" objectType="CheckBox" fmlaLink="$E$62" lockText="1" noThreeD="1"/>
</file>

<file path=xl/ctrlProps/ctrlProp25.xml><?xml version="1.0" encoding="utf-8"?>
<formControlPr xmlns="http://schemas.microsoft.com/office/spreadsheetml/2009/9/main" objectType="CheckBox" fmlaLink="$E$61" lockText="1" noThreeD="1"/>
</file>

<file path=xl/ctrlProps/ctrlProp26.xml><?xml version="1.0" encoding="utf-8"?>
<formControlPr xmlns="http://schemas.microsoft.com/office/spreadsheetml/2009/9/main" objectType="CheckBox" fmlaLink="$E$60" lockText="1" noThreeD="1"/>
</file>

<file path=xl/ctrlProps/ctrlProp27.xml><?xml version="1.0" encoding="utf-8"?>
<formControlPr xmlns="http://schemas.microsoft.com/office/spreadsheetml/2009/9/main" objectType="CheckBox" fmlaLink="$E$18" lockText="1" noThreeD="1"/>
</file>

<file path=xl/ctrlProps/ctrlProp28.xml><?xml version="1.0" encoding="utf-8"?>
<formControlPr xmlns="http://schemas.microsoft.com/office/spreadsheetml/2009/9/main" objectType="CheckBox" fmlaLink="$E$19" lockText="1" noThreeD="1"/>
</file>

<file path=xl/ctrlProps/ctrlProp29.xml><?xml version="1.0" encoding="utf-8"?>
<formControlPr xmlns="http://schemas.microsoft.com/office/spreadsheetml/2009/9/main" objectType="CheckBox" fmlaLink="$E$20" lockText="1" noThreeD="1"/>
</file>

<file path=xl/ctrlProps/ctrlProp3.xml><?xml version="1.0" encoding="utf-8"?>
<formControlPr xmlns="http://schemas.microsoft.com/office/spreadsheetml/2009/9/main" objectType="CheckBox" fmlaLink="$E$25" lockText="1" noThreeD="1"/>
</file>

<file path=xl/ctrlProps/ctrlProp30.xml><?xml version="1.0" encoding="utf-8"?>
<formControlPr xmlns="http://schemas.microsoft.com/office/spreadsheetml/2009/9/main" objectType="CheckBox" fmlaLink="$E$17" lockText="1" noThreeD="1"/>
</file>

<file path=xl/ctrlProps/ctrlProp31.xml><?xml version="1.0" encoding="utf-8"?>
<formControlPr xmlns="http://schemas.microsoft.com/office/spreadsheetml/2009/9/main" objectType="CheckBox" fmlaLink="$E$21" lockText="1" noThreeD="1"/>
</file>

<file path=xl/ctrlProps/ctrlProp32.xml><?xml version="1.0" encoding="utf-8"?>
<formControlPr xmlns="http://schemas.microsoft.com/office/spreadsheetml/2009/9/main" objectType="CheckBox" fmlaLink="$E$28" lockText="1" noThreeD="1"/>
</file>

<file path=xl/ctrlProps/ctrlProp4.xml><?xml version="1.0" encoding="utf-8"?>
<formControlPr xmlns="http://schemas.microsoft.com/office/spreadsheetml/2009/9/main" objectType="CheckBox" fmlaLink="$E$27" lockText="1" noThreeD="1"/>
</file>

<file path=xl/ctrlProps/ctrlProp5.xml><?xml version="1.0" encoding="utf-8"?>
<formControlPr xmlns="http://schemas.microsoft.com/office/spreadsheetml/2009/9/main" objectType="CheckBox" fmlaLink="$E$31" lockText="1" noThreeD="1"/>
</file>

<file path=xl/ctrlProps/ctrlProp6.xml><?xml version="1.0" encoding="utf-8"?>
<formControlPr xmlns="http://schemas.microsoft.com/office/spreadsheetml/2009/9/main" objectType="CheckBox" fmlaLink="$E$32" lockText="1" noThreeD="1"/>
</file>

<file path=xl/ctrlProps/ctrlProp7.xml><?xml version="1.0" encoding="utf-8"?>
<formControlPr xmlns="http://schemas.microsoft.com/office/spreadsheetml/2009/9/main" objectType="CheckBox" fmlaLink="$E$33" lockText="1" noThreeD="1"/>
</file>

<file path=xl/ctrlProps/ctrlProp8.xml><?xml version="1.0" encoding="utf-8"?>
<formControlPr xmlns="http://schemas.microsoft.com/office/spreadsheetml/2009/9/main" objectType="CheckBox" fmlaLink="$E$36" lockText="1" noThreeD="1"/>
</file>

<file path=xl/ctrlProps/ctrlProp9.xml><?xml version="1.0" encoding="utf-8"?>
<formControlPr xmlns="http://schemas.microsoft.com/office/spreadsheetml/2009/9/main" objectType="CheckBox" fmlaLink="$E$37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17</xdr:row>
          <xdr:rowOff>0</xdr:rowOff>
        </xdr:from>
        <xdr:to>
          <xdr:col>3</xdr:col>
          <xdr:colOff>533400</xdr:colOff>
          <xdr:row>18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17</xdr:row>
          <xdr:rowOff>228600</xdr:rowOff>
        </xdr:from>
        <xdr:to>
          <xdr:col>3</xdr:col>
          <xdr:colOff>546100</xdr:colOff>
          <xdr:row>19</xdr:row>
          <xdr:rowOff>25400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19</xdr:row>
          <xdr:rowOff>12700</xdr:rowOff>
        </xdr:from>
        <xdr:to>
          <xdr:col>3</xdr:col>
          <xdr:colOff>571500</xdr:colOff>
          <xdr:row>20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16</xdr:row>
          <xdr:rowOff>0</xdr:rowOff>
        </xdr:from>
        <xdr:to>
          <xdr:col>3</xdr:col>
          <xdr:colOff>698500</xdr:colOff>
          <xdr:row>17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22</xdr:row>
          <xdr:rowOff>12700</xdr:rowOff>
        </xdr:from>
        <xdr:to>
          <xdr:col>3</xdr:col>
          <xdr:colOff>571500</xdr:colOff>
          <xdr:row>23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22</xdr:row>
          <xdr:rowOff>241300</xdr:rowOff>
        </xdr:from>
        <xdr:to>
          <xdr:col>3</xdr:col>
          <xdr:colOff>571500</xdr:colOff>
          <xdr:row>23</xdr:row>
          <xdr:rowOff>228600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23</xdr:row>
          <xdr:rowOff>241300</xdr:rowOff>
        </xdr:from>
        <xdr:to>
          <xdr:col>3</xdr:col>
          <xdr:colOff>571500</xdr:colOff>
          <xdr:row>24</xdr:row>
          <xdr:rowOff>228600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26</xdr:row>
          <xdr:rowOff>0</xdr:rowOff>
        </xdr:from>
        <xdr:to>
          <xdr:col>3</xdr:col>
          <xdr:colOff>571500</xdr:colOff>
          <xdr:row>27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30</xdr:row>
          <xdr:rowOff>0</xdr:rowOff>
        </xdr:from>
        <xdr:to>
          <xdr:col>3</xdr:col>
          <xdr:colOff>571500</xdr:colOff>
          <xdr:row>30</xdr:row>
          <xdr:rowOff>241300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31</xdr:row>
          <xdr:rowOff>0</xdr:rowOff>
        </xdr:from>
        <xdr:to>
          <xdr:col>3</xdr:col>
          <xdr:colOff>571500</xdr:colOff>
          <xdr:row>31</xdr:row>
          <xdr:rowOff>241300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32</xdr:row>
          <xdr:rowOff>0</xdr:rowOff>
        </xdr:from>
        <xdr:to>
          <xdr:col>3</xdr:col>
          <xdr:colOff>571500</xdr:colOff>
          <xdr:row>32</xdr:row>
          <xdr:rowOff>241300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35</xdr:row>
          <xdr:rowOff>12700</xdr:rowOff>
        </xdr:from>
        <xdr:to>
          <xdr:col>3</xdr:col>
          <xdr:colOff>571500</xdr:colOff>
          <xdr:row>35</xdr:row>
          <xdr:rowOff>215900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254000</xdr:colOff>
          <xdr:row>36</xdr:row>
          <xdr:rowOff>0</xdr:rowOff>
        </xdr:from>
        <xdr:to>
          <xdr:col>3</xdr:col>
          <xdr:colOff>558800</xdr:colOff>
          <xdr:row>36</xdr:row>
          <xdr:rowOff>203200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254000</xdr:colOff>
          <xdr:row>37</xdr:row>
          <xdr:rowOff>12700</xdr:rowOff>
        </xdr:from>
        <xdr:to>
          <xdr:col>3</xdr:col>
          <xdr:colOff>558800</xdr:colOff>
          <xdr:row>37</xdr:row>
          <xdr:rowOff>215900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254000</xdr:colOff>
          <xdr:row>38</xdr:row>
          <xdr:rowOff>25400</xdr:rowOff>
        </xdr:from>
        <xdr:to>
          <xdr:col>3</xdr:col>
          <xdr:colOff>558800</xdr:colOff>
          <xdr:row>38</xdr:row>
          <xdr:rowOff>228600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254000</xdr:colOff>
          <xdr:row>39</xdr:row>
          <xdr:rowOff>25400</xdr:rowOff>
        </xdr:from>
        <xdr:to>
          <xdr:col>3</xdr:col>
          <xdr:colOff>558800</xdr:colOff>
          <xdr:row>39</xdr:row>
          <xdr:rowOff>228600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43</xdr:row>
          <xdr:rowOff>25400</xdr:rowOff>
        </xdr:from>
        <xdr:to>
          <xdr:col>3</xdr:col>
          <xdr:colOff>571500</xdr:colOff>
          <xdr:row>43</xdr:row>
          <xdr:rowOff>228600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44</xdr:row>
          <xdr:rowOff>25400</xdr:rowOff>
        </xdr:from>
        <xdr:to>
          <xdr:col>3</xdr:col>
          <xdr:colOff>571500</xdr:colOff>
          <xdr:row>44</xdr:row>
          <xdr:rowOff>228600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47</xdr:row>
          <xdr:rowOff>38100</xdr:rowOff>
        </xdr:from>
        <xdr:to>
          <xdr:col>3</xdr:col>
          <xdr:colOff>571500</xdr:colOff>
          <xdr:row>47</xdr:row>
          <xdr:rowOff>241300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48</xdr:row>
          <xdr:rowOff>25400</xdr:rowOff>
        </xdr:from>
        <xdr:to>
          <xdr:col>3</xdr:col>
          <xdr:colOff>571500</xdr:colOff>
          <xdr:row>48</xdr:row>
          <xdr:rowOff>228600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49</xdr:row>
          <xdr:rowOff>25400</xdr:rowOff>
        </xdr:from>
        <xdr:to>
          <xdr:col>3</xdr:col>
          <xdr:colOff>571500</xdr:colOff>
          <xdr:row>49</xdr:row>
          <xdr:rowOff>228600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52</xdr:row>
          <xdr:rowOff>12700</xdr:rowOff>
        </xdr:from>
        <xdr:to>
          <xdr:col>3</xdr:col>
          <xdr:colOff>571500</xdr:colOff>
          <xdr:row>52</xdr:row>
          <xdr:rowOff>215900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53</xdr:row>
          <xdr:rowOff>12700</xdr:rowOff>
        </xdr:from>
        <xdr:to>
          <xdr:col>3</xdr:col>
          <xdr:colOff>571500</xdr:colOff>
          <xdr:row>53</xdr:row>
          <xdr:rowOff>215900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54</xdr:row>
          <xdr:rowOff>12700</xdr:rowOff>
        </xdr:from>
        <xdr:to>
          <xdr:col>3</xdr:col>
          <xdr:colOff>571500</xdr:colOff>
          <xdr:row>54</xdr:row>
          <xdr:rowOff>215900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56</xdr:row>
          <xdr:rowOff>12700</xdr:rowOff>
        </xdr:from>
        <xdr:to>
          <xdr:col>3</xdr:col>
          <xdr:colOff>571500</xdr:colOff>
          <xdr:row>56</xdr:row>
          <xdr:rowOff>215900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254000</xdr:colOff>
          <xdr:row>40</xdr:row>
          <xdr:rowOff>25400</xdr:rowOff>
        </xdr:from>
        <xdr:to>
          <xdr:col>3</xdr:col>
          <xdr:colOff>558800</xdr:colOff>
          <xdr:row>40</xdr:row>
          <xdr:rowOff>228600</xdr:rowOff>
        </xdr:to>
        <xdr:sp macro="" textlink="">
          <xdr:nvSpPr>
            <xdr:cNvPr id="2092" name="Check Box 23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55</xdr:row>
          <xdr:rowOff>12700</xdr:rowOff>
        </xdr:from>
        <xdr:to>
          <xdr:col>3</xdr:col>
          <xdr:colOff>571500</xdr:colOff>
          <xdr:row>55</xdr:row>
          <xdr:rowOff>215900</xdr:rowOff>
        </xdr:to>
        <xdr:sp macro="" textlink="">
          <xdr:nvSpPr>
            <xdr:cNvPr id="2094" name="Check Box 30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1</xdr:col>
      <xdr:colOff>71120</xdr:colOff>
      <xdr:row>0</xdr:row>
      <xdr:rowOff>137163</xdr:rowOff>
    </xdr:from>
    <xdr:to>
      <xdr:col>1</xdr:col>
      <xdr:colOff>1371600</xdr:colOff>
      <xdr:row>6</xdr:row>
      <xdr:rowOff>94597</xdr:rowOff>
    </xdr:to>
    <xdr:pic>
      <xdr:nvPicPr>
        <xdr:cNvPr id="48" name="Imag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393" y="137163"/>
          <a:ext cx="1300480" cy="17007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61</xdr:row>
          <xdr:rowOff>0</xdr:rowOff>
        </xdr:from>
        <xdr:to>
          <xdr:col>3</xdr:col>
          <xdr:colOff>533400</xdr:colOff>
          <xdr:row>62</xdr:row>
          <xdr:rowOff>0</xdr:rowOff>
        </xdr:to>
        <xdr:sp macro="" textlink="">
          <xdr:nvSpPr>
            <xdr:cNvPr id="2100" name="Check Box 1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59</xdr:row>
          <xdr:rowOff>254000</xdr:rowOff>
        </xdr:from>
        <xdr:to>
          <xdr:col>3</xdr:col>
          <xdr:colOff>584200</xdr:colOff>
          <xdr:row>61</xdr:row>
          <xdr:rowOff>12700</xdr:rowOff>
        </xdr:to>
        <xdr:sp macro="" textlink="">
          <xdr:nvSpPr>
            <xdr:cNvPr id="2104" name="Check Box 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59</xdr:row>
          <xdr:rowOff>0</xdr:rowOff>
        </xdr:from>
        <xdr:to>
          <xdr:col>3</xdr:col>
          <xdr:colOff>698500</xdr:colOff>
          <xdr:row>60</xdr:row>
          <xdr:rowOff>12700</xdr:rowOff>
        </xdr:to>
        <xdr:sp macro="" textlink="">
          <xdr:nvSpPr>
            <xdr:cNvPr id="2105" name="Check Box 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20</xdr:row>
          <xdr:rowOff>0</xdr:rowOff>
        </xdr:from>
        <xdr:to>
          <xdr:col>3</xdr:col>
          <xdr:colOff>571500</xdr:colOff>
          <xdr:row>20</xdr:row>
          <xdr:rowOff>241300</xdr:rowOff>
        </xdr:to>
        <xdr:sp macro="" textlink="">
          <xdr:nvSpPr>
            <xdr:cNvPr id="2328" name="Check Box 3" hidden="1">
              <a:extLst>
                <a:ext uri="{63B3BB69-23CF-44E3-9099-C40C66FF867C}">
                  <a14:compatExt spid="_x0000_s2328"/>
                </a:ext>
                <a:ext uri="{FF2B5EF4-FFF2-40B4-BE49-F238E27FC236}">
                  <a16:creationId xmlns:a16="http://schemas.microsoft.com/office/drawing/2014/main" id="{00000000-0008-0000-0000-000018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27</xdr:row>
          <xdr:rowOff>0</xdr:rowOff>
        </xdr:from>
        <xdr:to>
          <xdr:col>3</xdr:col>
          <xdr:colOff>571500</xdr:colOff>
          <xdr:row>28</xdr:row>
          <xdr:rowOff>0</xdr:rowOff>
        </xdr:to>
        <xdr:sp macro="" textlink="">
          <xdr:nvSpPr>
            <xdr:cNvPr id="2331" name="Check Box 11" hidden="1">
              <a:extLst>
                <a:ext uri="{63B3BB69-23CF-44E3-9099-C40C66FF867C}">
                  <a14:compatExt spid="_x0000_s2331"/>
                </a:ext>
                <a:ext uri="{FF2B5EF4-FFF2-40B4-BE49-F238E27FC236}">
                  <a16:creationId xmlns:a16="http://schemas.microsoft.com/office/drawing/2014/main" id="{00000000-0008-0000-0000-00001B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omments" Target="../comments1.xml"/><Relationship Id="rId8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le2">
    <pageSetUpPr fitToPage="1"/>
  </sheetPr>
  <dimension ref="A2:R131"/>
  <sheetViews>
    <sheetView showGridLines="0" showRowColHeaders="0" tabSelected="1" zoomScale="110" zoomScaleNormal="110" workbookViewId="0">
      <pane xSplit="8" ySplit="13" topLeftCell="R14" activePane="bottomRight" state="frozen"/>
      <selection pane="topRight" activeCell="H1" sqref="H1"/>
      <selection pane="bottomLeft" activeCell="A14" sqref="A14"/>
      <selection pane="bottomRight" activeCell="V19" sqref="V19"/>
    </sheetView>
  </sheetViews>
  <sheetFormatPr baseColWidth="10" defaultColWidth="11" defaultRowHeight="16"/>
  <cols>
    <col min="2" max="2" width="80" style="4" customWidth="1"/>
    <col min="3" max="3" width="13.6640625" style="3" customWidth="1"/>
    <col min="4" max="4" width="10.1640625" style="4" customWidth="1"/>
    <col min="5" max="5" width="10.83203125" style="4" hidden="1" customWidth="1"/>
    <col min="6" max="6" width="6.6640625" style="4" hidden="1" customWidth="1"/>
    <col min="7" max="7" width="15.33203125" style="4" customWidth="1"/>
    <col min="8" max="8" width="15.33203125" style="4" hidden="1" customWidth="1"/>
    <col min="9" max="9" width="12.33203125" style="26" hidden="1" customWidth="1"/>
    <col min="10" max="10" width="13.33203125" hidden="1" customWidth="1"/>
    <col min="11" max="11" width="11.6640625" style="5" hidden="1" customWidth="1"/>
    <col min="12" max="12" width="14.1640625" hidden="1" customWidth="1"/>
    <col min="13" max="13" width="10.83203125" hidden="1" customWidth="1"/>
    <col min="14" max="14" width="11.1640625" hidden="1" customWidth="1"/>
    <col min="15" max="16" width="10.83203125" hidden="1" customWidth="1"/>
  </cols>
  <sheetData>
    <row r="2" spans="1:18" ht="23">
      <c r="B2" s="99" t="s">
        <v>0</v>
      </c>
      <c r="C2" s="99"/>
      <c r="D2" s="99"/>
      <c r="E2" s="99"/>
      <c r="F2" s="99"/>
      <c r="G2" s="99"/>
      <c r="H2" s="99"/>
    </row>
    <row r="3" spans="1:18" ht="32" customHeight="1">
      <c r="B3" s="114" t="s">
        <v>1</v>
      </c>
      <c r="C3" s="114"/>
      <c r="D3" s="114"/>
      <c r="E3" s="114"/>
      <c r="F3" s="114"/>
      <c r="G3" s="114"/>
      <c r="H3" s="114"/>
    </row>
    <row r="4" spans="1:18" ht="5" customHeight="1">
      <c r="B4" s="114"/>
      <c r="C4" s="114"/>
      <c r="D4" s="114"/>
      <c r="E4" s="114"/>
      <c r="F4" s="114"/>
      <c r="G4" s="114"/>
      <c r="H4" s="114"/>
    </row>
    <row r="5" spans="1:18" ht="34" customHeight="1">
      <c r="B5" s="115" t="s">
        <v>2</v>
      </c>
      <c r="C5" s="115"/>
      <c r="D5" s="115"/>
      <c r="E5" s="115"/>
      <c r="F5" s="115"/>
      <c r="G5" s="115"/>
      <c r="H5" s="115"/>
    </row>
    <row r="6" spans="1:18" ht="27" customHeight="1" thickBot="1">
      <c r="B6" s="62" t="s">
        <v>3</v>
      </c>
      <c r="C6" s="112">
        <v>40</v>
      </c>
      <c r="D6" s="112"/>
      <c r="E6" s="113"/>
      <c r="F6" s="113"/>
      <c r="G6" s="63" t="s">
        <v>4</v>
      </c>
      <c r="H6" s="20" t="s">
        <v>5</v>
      </c>
      <c r="I6" s="5" t="s">
        <v>6</v>
      </c>
    </row>
    <row r="7" spans="1:18" s="6" customFormat="1" ht="16" customHeight="1">
      <c r="B7" s="100" t="s">
        <v>7</v>
      </c>
      <c r="C7" s="102">
        <v>80</v>
      </c>
      <c r="D7" s="103"/>
      <c r="E7" s="106"/>
      <c r="F7" s="107"/>
      <c r="G7" s="110">
        <f>PRIX_MINI</f>
        <v>23.65</v>
      </c>
      <c r="H7" s="110">
        <v>23.65</v>
      </c>
      <c r="I7" s="48" t="s">
        <v>8</v>
      </c>
      <c r="K7" s="54">
        <f>H12/1.1</f>
        <v>21.499999999999996</v>
      </c>
    </row>
    <row r="8" spans="1:18" s="6" customFormat="1" ht="12" customHeight="1">
      <c r="A8" s="48"/>
      <c r="B8" s="101"/>
      <c r="C8" s="104"/>
      <c r="D8" s="105"/>
      <c r="E8" s="108"/>
      <c r="F8" s="109"/>
      <c r="G8" s="111"/>
      <c r="H8" s="111"/>
      <c r="I8" s="42"/>
      <c r="K8" s="48"/>
    </row>
    <row r="9" spans="1:18" ht="21">
      <c r="B9" s="56" t="s">
        <v>9</v>
      </c>
      <c r="C9" s="29"/>
      <c r="D9" s="34"/>
      <c r="E9" s="35"/>
      <c r="F9" s="30"/>
      <c r="G9" s="31">
        <f>H9</f>
        <v>1892</v>
      </c>
      <c r="H9" s="31">
        <f>IF(NOMBRES_DE_PERSONNES*PRIX_MINI&lt;NOMBRE_DE_PERSONNE_MINIMUN*PRIX_MINI,NOMBRE_DE_PERSONNE_MINIMUN*PRIX_MINI,NOMBRES_DE_PERSONNES*H12)</f>
        <v>1892</v>
      </c>
      <c r="K9" s="26">
        <v>1.1850000000000001</v>
      </c>
      <c r="R9" s="98"/>
    </row>
    <row r="10" spans="1:18" ht="21" hidden="1">
      <c r="B10" s="57"/>
      <c r="C10" s="36"/>
      <c r="D10" s="32"/>
      <c r="E10" s="33"/>
      <c r="F10" s="37"/>
      <c r="G10" s="38">
        <f>IF(NOMBRES_DE_PERSONNES*G11&lt;NOMBRE_DE_PERSONNE_MINIMUN*PRIX_MINI,NOMBRE_DE_PERSONNE_MINIMUN*PRIX_MINI,NOMBRES_DE_PERSONNES*G12)</f>
        <v>946</v>
      </c>
      <c r="H10" s="38">
        <f>IF(NOMBRES_DE_PERSONNES*H11&lt;NOMBRE_DE_PERSONNE_MINIMUN*PRIX_MINI,NOMBRE_DE_PERSONNE_MINIMUN*PRIX_MINI,NOMBRES_DE_PERSONNES*H12)</f>
        <v>946</v>
      </c>
    </row>
    <row r="11" spans="1:18" ht="21" hidden="1">
      <c r="B11" s="57"/>
      <c r="C11" s="36"/>
      <c r="D11" s="32"/>
      <c r="E11" s="33"/>
      <c r="F11" s="37"/>
      <c r="G11" s="38">
        <f>SUM(G17:G66)/NOMBRES_DE_PERSONNES</f>
        <v>0</v>
      </c>
      <c r="H11" s="38">
        <f>SUM(H17:H66)/NOMBRES_DE_PERSONNES</f>
        <v>0</v>
      </c>
    </row>
    <row r="12" spans="1:18" ht="22" thickBot="1">
      <c r="B12" s="57" t="s">
        <v>10</v>
      </c>
      <c r="C12" s="36"/>
      <c r="D12" s="32"/>
      <c r="E12" s="33"/>
      <c r="F12" s="37"/>
      <c r="G12" s="38">
        <f>H12</f>
        <v>23.65</v>
      </c>
      <c r="H12" s="38">
        <f>IF(H11&lt;PRIX_MINI,PRIX_MINI,H11)</f>
        <v>23.65</v>
      </c>
      <c r="I12" s="49">
        <f>(SUM(H17:H21)+SUM(H23:H27)+SUM(H36:H41)+SUM(H44:H45)+SUM(H48:H50)+SUM(H53:H57)+SUM(H60:H66))/NOMBRES_DE_PERSONNES</f>
        <v>0</v>
      </c>
    </row>
    <row r="13" spans="1:18" ht="12" customHeight="1">
      <c r="B13" s="118"/>
      <c r="C13" s="118"/>
      <c r="D13" s="118"/>
      <c r="E13" s="118"/>
      <c r="F13" s="118"/>
      <c r="G13" s="118"/>
      <c r="H13" s="118"/>
    </row>
    <row r="14" spans="1:18" ht="21" customHeight="1">
      <c r="B14" s="121" t="s">
        <v>11</v>
      </c>
      <c r="C14" s="121"/>
      <c r="D14" s="121"/>
      <c r="E14" s="121"/>
      <c r="F14" s="121"/>
      <c r="G14" s="121"/>
      <c r="H14" s="121"/>
    </row>
    <row r="15" spans="1:18" ht="11" customHeight="1">
      <c r="B15" s="122" t="s">
        <v>12</v>
      </c>
      <c r="C15" s="122"/>
      <c r="D15" s="122"/>
      <c r="E15" s="58"/>
      <c r="F15" s="58"/>
      <c r="G15" s="123" t="s">
        <v>13</v>
      </c>
      <c r="H15" s="52"/>
    </row>
    <row r="16" spans="1:18" ht="13" customHeight="1">
      <c r="B16" s="120"/>
      <c r="C16" s="120"/>
      <c r="D16" s="120"/>
      <c r="E16" s="59"/>
      <c r="F16" s="59"/>
      <c r="G16" s="124"/>
      <c r="H16" s="28"/>
      <c r="I16" s="64" t="s">
        <v>14</v>
      </c>
      <c r="J16" s="64" t="s">
        <v>15</v>
      </c>
      <c r="K16"/>
    </row>
    <row r="17" spans="2:15" ht="20" customHeight="1">
      <c r="B17" s="7" t="s">
        <v>16</v>
      </c>
      <c r="C17" s="8">
        <f>0.4*1.085</f>
        <v>0.434</v>
      </c>
      <c r="D17" s="9"/>
      <c r="E17" s="9" t="b">
        <v>0</v>
      </c>
      <c r="F17" s="41">
        <f>IF(E17,1,0)</f>
        <v>0</v>
      </c>
      <c r="G17" s="53"/>
      <c r="H17" s="8">
        <f>IF(F17,NOMBRES_DE_PERSONNES*C17,0)</f>
        <v>0</v>
      </c>
      <c r="I17" s="74">
        <f>IF(F17,NOMBRES_DE_PERSONNES*0.15,0)</f>
        <v>0</v>
      </c>
      <c r="J17" s="81" t="e">
        <f>I17/SUM($F$17:$F$21)</f>
        <v>#DIV/0!</v>
      </c>
      <c r="K17" s="76" t="e">
        <f>2.5*J17</f>
        <v>#DIV/0!</v>
      </c>
      <c r="L17" s="67" t="e">
        <f>J17</f>
        <v>#DIV/0!</v>
      </c>
    </row>
    <row r="18" spans="2:15" ht="20" customHeight="1">
      <c r="B18" s="7" t="s">
        <v>17</v>
      </c>
      <c r="C18" s="8">
        <f>0.95*1.085</f>
        <v>1.0307499999999998</v>
      </c>
      <c r="D18" s="9"/>
      <c r="E18" s="9" t="b">
        <v>0</v>
      </c>
      <c r="F18" s="41">
        <f>IF(E18,1,0)</f>
        <v>0</v>
      </c>
      <c r="G18" s="51"/>
      <c r="H18" s="8">
        <f>IF(F18,NOMBRES_DE_PERSONNES*C18,0)</f>
        <v>0</v>
      </c>
      <c r="I18" s="74">
        <f>IF(F18,NOMBRES_DE_PERSONNES*0.1,0)</f>
        <v>0</v>
      </c>
      <c r="J18" s="81" t="e">
        <f>I18/SUM($F$17:$F$21)</f>
        <v>#DIV/0!</v>
      </c>
      <c r="K18" s="76" t="e">
        <f>6*J18</f>
        <v>#DIV/0!</v>
      </c>
      <c r="L18" s="67" t="e">
        <f t="shared" ref="L18:L21" si="0">J18</f>
        <v>#DIV/0!</v>
      </c>
    </row>
    <row r="19" spans="2:15" ht="20" customHeight="1">
      <c r="B19" s="7" t="s">
        <v>18</v>
      </c>
      <c r="C19" s="8">
        <f>0.95*1.085</f>
        <v>1.0307499999999998</v>
      </c>
      <c r="D19" s="9"/>
      <c r="E19" s="9" t="b">
        <v>0</v>
      </c>
      <c r="F19" s="41">
        <f t="shared" ref="F19:F33" si="1">IF(E19,1,0)</f>
        <v>0</v>
      </c>
      <c r="G19" s="51"/>
      <c r="H19" s="8">
        <f>IF(F19,NOMBRES_DE_PERSONNES*C19,0)</f>
        <v>0</v>
      </c>
      <c r="I19" s="74">
        <f>IF(F19,NOMBRES_DE_PERSONNES*0.1,0)</f>
        <v>0</v>
      </c>
      <c r="J19" s="81" t="e">
        <f t="shared" ref="J19:J21" si="2">I19/SUM($F$17:$F$21)</f>
        <v>#DIV/0!</v>
      </c>
      <c r="K19" s="76" t="e">
        <f>11*J19</f>
        <v>#DIV/0!</v>
      </c>
      <c r="L19" s="67" t="e">
        <f t="shared" si="0"/>
        <v>#DIV/0!</v>
      </c>
    </row>
    <row r="20" spans="2:15" ht="20" customHeight="1">
      <c r="B20" s="7" t="s">
        <v>19</v>
      </c>
      <c r="C20" s="8">
        <f>0.95*1.085</f>
        <v>1.0307499999999998</v>
      </c>
      <c r="D20" s="9"/>
      <c r="E20" s="9" t="b">
        <v>0</v>
      </c>
      <c r="F20" s="41">
        <f t="shared" si="1"/>
        <v>0</v>
      </c>
      <c r="G20" s="51"/>
      <c r="H20" s="8">
        <f>IF(F20,NOMBRES_DE_PERSONNES*C20,0)</f>
        <v>0</v>
      </c>
      <c r="I20" s="74">
        <f>IF(F20,NOMBRES_DE_PERSONNES*0.1,0)</f>
        <v>0</v>
      </c>
      <c r="J20" s="81" t="e">
        <f t="shared" si="2"/>
        <v>#DIV/0!</v>
      </c>
      <c r="K20" s="76" t="e">
        <f>8*J20</f>
        <v>#DIV/0!</v>
      </c>
      <c r="L20" s="67" t="e">
        <f t="shared" si="0"/>
        <v>#DIV/0!</v>
      </c>
    </row>
    <row r="21" spans="2:15" ht="20" customHeight="1">
      <c r="B21" s="7" t="s">
        <v>20</v>
      </c>
      <c r="C21" s="8">
        <f>0.95*1.085</f>
        <v>1.0307499999999998</v>
      </c>
      <c r="D21" s="9"/>
      <c r="E21" s="10" t="b">
        <v>0</v>
      </c>
      <c r="F21" s="41">
        <f t="shared" si="1"/>
        <v>0</v>
      </c>
      <c r="G21" s="51"/>
      <c r="H21" s="8">
        <f>IF(F21,NOMBRES_DE_PERSONNES*C21,0)</f>
        <v>0</v>
      </c>
      <c r="I21" s="74">
        <f>IF(F21,NOMBRES_DE_PERSONNES*0.1,0)</f>
        <v>0</v>
      </c>
      <c r="J21" s="81" t="e">
        <f t="shared" si="2"/>
        <v>#DIV/0!</v>
      </c>
      <c r="K21" s="76" t="e">
        <f>8*J21</f>
        <v>#DIV/0!</v>
      </c>
      <c r="L21" s="67" t="e">
        <f t="shared" si="0"/>
        <v>#DIV/0!</v>
      </c>
    </row>
    <row r="22" spans="2:15" ht="24" customHeight="1">
      <c r="B22" s="60" t="s">
        <v>21</v>
      </c>
      <c r="C22" s="60"/>
      <c r="D22" s="60"/>
      <c r="E22" s="60"/>
      <c r="F22" s="60"/>
      <c r="G22" s="60"/>
      <c r="H22" s="45"/>
      <c r="L22" s="82" t="e">
        <f>SUM(K17:K21)</f>
        <v>#DIV/0!</v>
      </c>
    </row>
    <row r="23" spans="2:15" ht="20" customHeight="1">
      <c r="B23" s="7" t="s">
        <v>22</v>
      </c>
      <c r="C23" s="8">
        <f>2.76*1.085</f>
        <v>2.9945999999999997</v>
      </c>
      <c r="D23" s="9"/>
      <c r="E23" s="9" t="b">
        <v>0</v>
      </c>
      <c r="F23" s="9">
        <f t="shared" si="1"/>
        <v>0</v>
      </c>
      <c r="G23" s="9"/>
      <c r="H23" s="8">
        <f>IF(F23,(NOMBRES_DE_PERSONNES*C23)/SUM(F23:F24),0)</f>
        <v>0</v>
      </c>
      <c r="I23" s="74">
        <f>IF(F23,NOMBRES_DE_PERSONNES*0.06,0)</f>
        <v>0</v>
      </c>
      <c r="J23" s="75" t="e">
        <f>I23/(SUM($F$23:$F$24))</f>
        <v>#DIV/0!</v>
      </c>
      <c r="K23" s="76" t="e">
        <f>23*J23</f>
        <v>#DIV/0!</v>
      </c>
      <c r="L23" s="67" t="e">
        <f>J23</f>
        <v>#DIV/0!</v>
      </c>
      <c r="N23">
        <f>23*0.06</f>
        <v>1.38</v>
      </c>
      <c r="O23">
        <f>N23*2</f>
        <v>2.76</v>
      </c>
    </row>
    <row r="24" spans="2:15" ht="20" customHeight="1">
      <c r="B24" s="7" t="s">
        <v>23</v>
      </c>
      <c r="C24" s="8">
        <f>2.16*1.085</f>
        <v>2.3435999999999999</v>
      </c>
      <c r="D24" s="9"/>
      <c r="E24" s="9" t="b">
        <v>0</v>
      </c>
      <c r="F24" s="9">
        <f t="shared" si="1"/>
        <v>0</v>
      </c>
      <c r="G24" s="9"/>
      <c r="H24" s="8">
        <f>IF(F24,(NOMBRES_DE_PERSONNES*C24)/SUM(F24:F25),0)</f>
        <v>0</v>
      </c>
      <c r="I24" s="74">
        <f>IF(F24,NOMBRES_DE_PERSONNES*0.06,0)</f>
        <v>0</v>
      </c>
      <c r="J24" s="75" t="e">
        <f>I24/(SUM($F$23:$F$24))</f>
        <v>#DIV/0!</v>
      </c>
      <c r="K24" s="76" t="e">
        <f>18*J24</f>
        <v>#DIV/0!</v>
      </c>
      <c r="L24" s="67" t="e">
        <f t="shared" ref="L24" si="3">J24</f>
        <v>#DIV/0!</v>
      </c>
      <c r="N24">
        <f>18*0.06</f>
        <v>1.08</v>
      </c>
      <c r="O24">
        <f t="shared" ref="O24:O25" si="4">N24*2</f>
        <v>2.16</v>
      </c>
    </row>
    <row r="25" spans="2:15" ht="20" customHeight="1">
      <c r="B25" s="7" t="s">
        <v>24</v>
      </c>
      <c r="C25" s="8">
        <f>3.6*1.085</f>
        <v>3.9060000000000001</v>
      </c>
      <c r="D25" s="9"/>
      <c r="E25" s="9" t="b">
        <v>0</v>
      </c>
      <c r="F25" s="9">
        <f t="shared" si="1"/>
        <v>0</v>
      </c>
      <c r="G25" s="9"/>
      <c r="H25" s="8">
        <f>IF(F25,NOMBRES_DE_PERSONNES*C25,0)</f>
        <v>0</v>
      </c>
      <c r="I25" s="74">
        <f>IF(F25,NOMBRES_DE_PERSONNES*0.05,0)</f>
        <v>0</v>
      </c>
      <c r="J25" s="75">
        <f>I25</f>
        <v>0</v>
      </c>
      <c r="K25" s="76">
        <f>26*J25</f>
        <v>0</v>
      </c>
      <c r="L25" s="72">
        <f>J25</f>
        <v>0</v>
      </c>
      <c r="N25">
        <f>23*0.05</f>
        <v>1.1500000000000001</v>
      </c>
      <c r="O25">
        <f t="shared" si="4"/>
        <v>2.3000000000000003</v>
      </c>
    </row>
    <row r="26" spans="2:15" ht="24" customHeight="1">
      <c r="B26" s="94" t="s">
        <v>25</v>
      </c>
      <c r="C26" s="94"/>
      <c r="D26" s="94"/>
      <c r="E26" s="94"/>
      <c r="F26" s="94"/>
      <c r="G26" s="94"/>
      <c r="H26" s="60"/>
      <c r="L26" s="82" t="e">
        <f>SUM(K23:K25)</f>
        <v>#DIV/0!</v>
      </c>
    </row>
    <row r="27" spans="2:15" ht="20" customHeight="1">
      <c r="B27" s="7" t="s">
        <v>26</v>
      </c>
      <c r="C27" s="8">
        <f>3.26*1.085</f>
        <v>3.5370999999999997</v>
      </c>
      <c r="D27" s="9"/>
      <c r="E27" s="9" t="b">
        <v>0</v>
      </c>
      <c r="F27" s="9">
        <f t="shared" si="1"/>
        <v>0</v>
      </c>
      <c r="G27" s="9"/>
      <c r="H27" s="8">
        <f>IF(F27,(NOMBRES_DE_PERSONNES*C27/SUM(F27:F28)),0)</f>
        <v>0</v>
      </c>
      <c r="I27" s="74">
        <f>IF(F27,NOMBRES_DE_PERSONNES*0.1,0)</f>
        <v>0</v>
      </c>
      <c r="J27" s="75" t="e">
        <f>I27/(SUM($F$27:$F$28))</f>
        <v>#DIV/0!</v>
      </c>
      <c r="K27" s="76" t="e">
        <f>17*J27</f>
        <v>#DIV/0!</v>
      </c>
    </row>
    <row r="28" spans="2:15" ht="20" customHeight="1">
      <c r="B28" s="7" t="s">
        <v>27</v>
      </c>
      <c r="C28" s="8">
        <f>4.2*1.085</f>
        <v>4.5570000000000004</v>
      </c>
      <c r="D28" s="9"/>
      <c r="E28" s="9" t="b">
        <v>0</v>
      </c>
      <c r="F28" s="9">
        <f t="shared" ref="F28" si="5">IF(E28,1,0)</f>
        <v>0</v>
      </c>
      <c r="G28" s="9"/>
      <c r="H28" s="8">
        <f>IF(F28,(NOMBRES_DE_PERSONNES*C28/SUM(F27:F28)),0)</f>
        <v>0</v>
      </c>
      <c r="I28" s="74">
        <f>IF(F28,NOMBRES_DE_PERSONNES*0.15,0)</f>
        <v>0</v>
      </c>
      <c r="J28" s="75" t="e">
        <f>I28/(SUM($F$27:$F$28))</f>
        <v>#DIV/0!</v>
      </c>
      <c r="K28" s="76" t="e">
        <f>16*J28</f>
        <v>#DIV/0!</v>
      </c>
    </row>
    <row r="29" spans="2:15" ht="16" customHeight="1">
      <c r="B29" s="119" t="s">
        <v>28</v>
      </c>
      <c r="C29" s="61"/>
      <c r="D29" s="61"/>
      <c r="E29" s="61"/>
      <c r="F29" s="61"/>
      <c r="G29" s="61"/>
      <c r="H29" s="61"/>
      <c r="L29" s="82" t="e">
        <f>SUM(K27:K28)</f>
        <v>#DIV/0!</v>
      </c>
    </row>
    <row r="30" spans="2:15" s="2" customFormat="1" ht="5" customHeight="1">
      <c r="B30" s="120"/>
      <c r="C30" s="59"/>
      <c r="D30" s="59"/>
      <c r="E30" s="59"/>
      <c r="F30" s="59"/>
      <c r="G30" s="59"/>
      <c r="H30" s="59"/>
      <c r="I30" s="43"/>
      <c r="K30" s="55"/>
    </row>
    <row r="31" spans="2:15" ht="20" customHeight="1">
      <c r="B31" s="7" t="s">
        <v>29</v>
      </c>
      <c r="C31" s="8" t="s">
        <v>30</v>
      </c>
      <c r="D31" s="9"/>
      <c r="E31" s="9" t="b">
        <v>0</v>
      </c>
      <c r="F31" s="9">
        <f t="shared" si="1"/>
        <v>0</v>
      </c>
      <c r="G31" s="9">
        <f>H31</f>
        <v>0</v>
      </c>
      <c r="H31" s="47">
        <f>IF(F31,C31,0)</f>
        <v>0</v>
      </c>
    </row>
    <row r="32" spans="2:15" ht="20" customHeight="1">
      <c r="B32" s="7" t="s">
        <v>31</v>
      </c>
      <c r="C32" s="8" t="s">
        <v>30</v>
      </c>
      <c r="D32" s="9"/>
      <c r="E32" s="9" t="b">
        <v>0</v>
      </c>
      <c r="F32" s="9">
        <f t="shared" si="1"/>
        <v>0</v>
      </c>
      <c r="G32" s="9">
        <f t="shared" ref="G32:G33" si="6">H32</f>
        <v>0</v>
      </c>
      <c r="H32" s="47">
        <f t="shared" ref="H32:H33" si="7">IF(F32,C32,0)</f>
        <v>0</v>
      </c>
    </row>
    <row r="33" spans="2:12" ht="20" customHeight="1">
      <c r="B33" s="7" t="s">
        <v>32</v>
      </c>
      <c r="C33" s="8" t="s">
        <v>30</v>
      </c>
      <c r="D33" s="9"/>
      <c r="E33" s="9" t="b">
        <v>0</v>
      </c>
      <c r="F33" s="9">
        <f t="shared" si="1"/>
        <v>0</v>
      </c>
      <c r="G33" s="9">
        <f t="shared" si="6"/>
        <v>0</v>
      </c>
      <c r="H33" s="47">
        <f t="shared" si="7"/>
        <v>0</v>
      </c>
    </row>
    <row r="34" spans="2:12" ht="16" customHeight="1">
      <c r="B34" s="119" t="s">
        <v>33</v>
      </c>
      <c r="C34" s="61"/>
      <c r="D34" s="61"/>
      <c r="E34" s="61"/>
      <c r="F34" s="61"/>
      <c r="G34" s="61"/>
      <c r="H34" s="44"/>
    </row>
    <row r="35" spans="2:12" ht="6" customHeight="1">
      <c r="B35" s="120"/>
      <c r="C35" s="59"/>
      <c r="D35" s="59"/>
      <c r="E35" s="59"/>
      <c r="F35" s="59"/>
      <c r="G35" s="59"/>
      <c r="H35" s="28"/>
    </row>
    <row r="36" spans="2:12" ht="20" customHeight="1">
      <c r="B36" s="7" t="s">
        <v>34</v>
      </c>
      <c r="C36" s="8">
        <f>0.95*K9</f>
        <v>1.12575</v>
      </c>
      <c r="D36" s="9"/>
      <c r="E36" s="9" t="b">
        <v>0</v>
      </c>
      <c r="F36" s="9">
        <f t="shared" ref="F36:F57" si="8">IF(E36,1,0)</f>
        <v>0</v>
      </c>
      <c r="G36" s="9"/>
      <c r="H36" s="8">
        <f t="shared" ref="H36:H41" si="9">IF(F36,NOMBRES_DE_PERSONNES*C36,0)</f>
        <v>0</v>
      </c>
      <c r="I36" s="65">
        <f>IF(F36,NOMBRES_DE_PERSONNES*0.08,0)</f>
        <v>0</v>
      </c>
      <c r="J36" s="77" t="e">
        <f>I36/SUM($F$38:$F$40)</f>
        <v>#DIV/0!</v>
      </c>
      <c r="K36" s="66" t="e">
        <f>15*J36</f>
        <v>#DIV/0!</v>
      </c>
    </row>
    <row r="37" spans="2:12" ht="20" customHeight="1">
      <c r="B37" s="7" t="s">
        <v>35</v>
      </c>
      <c r="C37" s="8">
        <f>1.3*K9</f>
        <v>1.5405000000000002</v>
      </c>
      <c r="D37" s="9"/>
      <c r="E37" s="9" t="b">
        <v>0</v>
      </c>
      <c r="F37" s="9">
        <f t="shared" si="8"/>
        <v>0</v>
      </c>
      <c r="G37" s="9"/>
      <c r="H37" s="8">
        <f t="shared" si="9"/>
        <v>0</v>
      </c>
      <c r="I37" s="71">
        <f>IF(F37,NOMBRES_DE_PERSONNES*0.08,0)</f>
        <v>0</v>
      </c>
      <c r="J37" s="78" t="e">
        <f t="shared" ref="J37" si="10">I37/SUM($F$38:$F$40)</f>
        <v>#DIV/0!</v>
      </c>
      <c r="K37" s="68" t="e">
        <f>22*J37</f>
        <v>#DIV/0!</v>
      </c>
    </row>
    <row r="38" spans="2:12" ht="20" customHeight="1">
      <c r="B38" s="7" t="s">
        <v>36</v>
      </c>
      <c r="C38" s="8">
        <f>0.9*K9</f>
        <v>1.0665</v>
      </c>
      <c r="D38" s="9"/>
      <c r="E38" s="9" t="b">
        <v>0</v>
      </c>
      <c r="F38" s="9">
        <f t="shared" si="8"/>
        <v>0</v>
      </c>
      <c r="G38" s="9"/>
      <c r="H38" s="8">
        <f t="shared" si="9"/>
        <v>0</v>
      </c>
      <c r="I38" s="71">
        <f>IF(F38,NOMBRES_DE_PERSONNES*0.05,0)</f>
        <v>0</v>
      </c>
      <c r="J38" s="78" t="e">
        <f>I38/SUM($F$38:$F$40)</f>
        <v>#DIV/0!</v>
      </c>
      <c r="K38" s="68" t="e">
        <f>16*J38</f>
        <v>#DIV/0!</v>
      </c>
    </row>
    <row r="39" spans="2:12" ht="20" customHeight="1">
      <c r="B39" s="7" t="s">
        <v>37</v>
      </c>
      <c r="C39" s="8">
        <f>0.83*K9</f>
        <v>0.98355000000000004</v>
      </c>
      <c r="D39" s="9"/>
      <c r="E39" s="9" t="b">
        <v>0</v>
      </c>
      <c r="F39" s="9">
        <f t="shared" si="8"/>
        <v>0</v>
      </c>
      <c r="G39" s="9"/>
      <c r="H39" s="8">
        <f t="shared" si="9"/>
        <v>0</v>
      </c>
      <c r="I39" s="71">
        <f>IF(F39,NOMBRES_DE_PERSONNES*0.04,0)</f>
        <v>0</v>
      </c>
      <c r="J39" s="78" t="e">
        <f t="shared" ref="J39:J41" si="11">I39/SUM($F$38:$F$40)</f>
        <v>#DIV/0!</v>
      </c>
      <c r="K39" s="68" t="e">
        <f>10*J39</f>
        <v>#DIV/0!</v>
      </c>
    </row>
    <row r="40" spans="2:12" ht="20" customHeight="1">
      <c r="B40" s="7" t="s">
        <v>38</v>
      </c>
      <c r="C40" s="8">
        <f>0.77*K9</f>
        <v>0.91245000000000009</v>
      </c>
      <c r="D40" s="9"/>
      <c r="E40" s="9" t="b">
        <v>0</v>
      </c>
      <c r="F40" s="9">
        <f t="shared" si="8"/>
        <v>0</v>
      </c>
      <c r="G40" s="9"/>
      <c r="H40" s="8">
        <f t="shared" si="9"/>
        <v>0</v>
      </c>
      <c r="I40" s="71">
        <f>IF(F40,NOMBRES_DE_PERSONNES*0.08,0)</f>
        <v>0</v>
      </c>
      <c r="J40" s="78" t="e">
        <f t="shared" si="11"/>
        <v>#DIV/0!</v>
      </c>
      <c r="K40" s="68" t="e">
        <f>10*J40</f>
        <v>#DIV/0!</v>
      </c>
    </row>
    <row r="41" spans="2:12" ht="20" customHeight="1">
      <c r="B41" s="7" t="s">
        <v>39</v>
      </c>
      <c r="C41" s="8">
        <f>0.85*K9</f>
        <v>1.00725</v>
      </c>
      <c r="D41" s="9"/>
      <c r="E41" s="9" t="b">
        <v>0</v>
      </c>
      <c r="F41" s="9">
        <f t="shared" ref="F41" si="12">IF(E41,1,0)</f>
        <v>0</v>
      </c>
      <c r="G41" s="9"/>
      <c r="H41" s="8">
        <f t="shared" si="9"/>
        <v>0</v>
      </c>
      <c r="I41" s="73">
        <f>IF(F41,NOMBRES_DE_PERSONNES*0.045,0)</f>
        <v>0</v>
      </c>
      <c r="J41" s="79" t="e">
        <f t="shared" si="11"/>
        <v>#DIV/0!</v>
      </c>
      <c r="K41" s="69" t="e">
        <f>16*J41</f>
        <v>#DIV/0!</v>
      </c>
      <c r="L41" s="80" t="e">
        <f>SUM(K36:K41)</f>
        <v>#DIV/0!</v>
      </c>
    </row>
    <row r="42" spans="2:12" ht="16" customHeight="1">
      <c r="B42" s="119" t="s">
        <v>40</v>
      </c>
      <c r="C42" s="61"/>
      <c r="D42" s="61"/>
      <c r="E42" s="61"/>
      <c r="F42" s="61"/>
      <c r="G42" s="61"/>
      <c r="H42" s="44"/>
    </row>
    <row r="43" spans="2:12" s="2" customFormat="1" ht="5" customHeight="1">
      <c r="B43" s="120"/>
      <c r="C43" s="59"/>
      <c r="D43" s="59"/>
      <c r="E43" s="59"/>
      <c r="F43" s="59"/>
      <c r="G43" s="59"/>
      <c r="H43" s="28"/>
      <c r="I43" s="43"/>
      <c r="K43" s="55"/>
    </row>
    <row r="44" spans="2:12" ht="20" customHeight="1">
      <c r="B44" s="7" t="s">
        <v>41</v>
      </c>
      <c r="C44" s="8">
        <f>0.57*K9</f>
        <v>0.67544999999999999</v>
      </c>
      <c r="D44" s="9"/>
      <c r="E44" s="9" t="b">
        <v>0</v>
      </c>
      <c r="F44" s="9">
        <f t="shared" si="8"/>
        <v>0</v>
      </c>
      <c r="G44" s="9"/>
      <c r="H44" s="8">
        <f>IF(F44,NOMBRES_DE_PERSONNES*C44,0)</f>
        <v>0</v>
      </c>
      <c r="I44" s="65">
        <f>IF(F44,NOMBRES_DE_PERSONNES*0.025,0)</f>
        <v>0</v>
      </c>
      <c r="J44" s="77" t="e">
        <f>I44/SUM(F44:F45)</f>
        <v>#DIV/0!</v>
      </c>
      <c r="K44" s="66" t="e">
        <f>10*J44</f>
        <v>#DIV/0!</v>
      </c>
    </row>
    <row r="45" spans="2:12" ht="20" customHeight="1">
      <c r="B45" s="7" t="s">
        <v>42</v>
      </c>
      <c r="C45" s="8">
        <f>0.8*K9</f>
        <v>0.94800000000000006</v>
      </c>
      <c r="D45" s="9"/>
      <c r="E45" s="9" t="b">
        <v>0</v>
      </c>
      <c r="F45" s="9">
        <f t="shared" si="8"/>
        <v>0</v>
      </c>
      <c r="G45" s="9"/>
      <c r="H45" s="8">
        <f>IF(F45,NOMBRES_DE_PERSONNES*C45,0)</f>
        <v>0</v>
      </c>
      <c r="I45" s="73">
        <f>IF(F45,NOMBRES_DE_PERSONNES*0.025,0)</f>
        <v>0</v>
      </c>
      <c r="J45" s="79" t="e">
        <f>I45/SUM(F44:F45)</f>
        <v>#DIV/0!</v>
      </c>
      <c r="K45" s="69" t="e">
        <f>17*J45</f>
        <v>#DIV/0!</v>
      </c>
      <c r="L45" s="80" t="e">
        <f>K44+K45</f>
        <v>#DIV/0!</v>
      </c>
    </row>
    <row r="46" spans="2:12" s="2" customFormat="1" ht="15" customHeight="1">
      <c r="B46" s="119" t="s">
        <v>43</v>
      </c>
      <c r="C46" s="61"/>
      <c r="D46" s="61"/>
      <c r="E46" s="61"/>
      <c r="F46" s="61"/>
      <c r="G46" s="61"/>
      <c r="H46" s="44"/>
      <c r="I46" s="43"/>
      <c r="K46" s="55"/>
    </row>
    <row r="47" spans="2:12" ht="5" customHeight="1">
      <c r="B47" s="120"/>
      <c r="C47" s="59"/>
      <c r="D47" s="59"/>
      <c r="E47" s="59"/>
      <c r="F47" s="59"/>
      <c r="G47" s="59"/>
      <c r="H47" s="28"/>
    </row>
    <row r="48" spans="2:12" ht="20" customHeight="1">
      <c r="B48" s="7" t="s">
        <v>44</v>
      </c>
      <c r="C48" s="8">
        <f>1</f>
        <v>1</v>
      </c>
      <c r="D48" s="9"/>
      <c r="E48" s="9" t="b">
        <v>0</v>
      </c>
      <c r="F48" s="9">
        <f t="shared" si="8"/>
        <v>0</v>
      </c>
      <c r="G48" s="9"/>
      <c r="H48" s="8">
        <f>IF(F48,NOMBRES_DE_PERSONNES*C48,0)</f>
        <v>0</v>
      </c>
      <c r="I48" s="74">
        <f>IF(F48,NOMBRES_DE_PERSONNES*0.1,0)</f>
        <v>0</v>
      </c>
      <c r="J48" s="83" t="e">
        <f>I48/SUM(F47:F48)</f>
        <v>#DIV/0!</v>
      </c>
      <c r="K48" s="76" t="e">
        <f>5*J48</f>
        <v>#DIV/0!</v>
      </c>
    </row>
    <row r="49" spans="1:13" ht="20" customHeight="1">
      <c r="B49" s="7" t="s">
        <v>45</v>
      </c>
      <c r="C49" s="8">
        <f>1.2</f>
        <v>1.2</v>
      </c>
      <c r="D49" s="9"/>
      <c r="E49" s="9" t="b">
        <v>0</v>
      </c>
      <c r="F49" s="9">
        <f t="shared" si="8"/>
        <v>0</v>
      </c>
      <c r="G49" s="9"/>
      <c r="H49" s="8">
        <f>IF(F49,NOMBRES_DE_PERSONNES*C49,0)</f>
        <v>0</v>
      </c>
      <c r="I49" s="74">
        <f>IF(F49,NOMBRES_DE_PERSONNES,0)</f>
        <v>0</v>
      </c>
      <c r="J49" s="84">
        <f>I49</f>
        <v>0</v>
      </c>
      <c r="K49" s="76">
        <f>0.4*J49</f>
        <v>0</v>
      </c>
    </row>
    <row r="50" spans="1:13" ht="20" customHeight="1">
      <c r="B50" s="7" t="s">
        <v>46</v>
      </c>
      <c r="C50" s="14">
        <f>1.2*K9</f>
        <v>1.4219999999999999</v>
      </c>
      <c r="D50" s="15"/>
      <c r="E50" s="15" t="b">
        <v>0</v>
      </c>
      <c r="F50" s="15">
        <f t="shared" si="8"/>
        <v>0</v>
      </c>
      <c r="G50" s="15"/>
      <c r="H50" s="14">
        <f>IF(F50,NOMBRES_DE_PERSONNES*C50,0)</f>
        <v>0</v>
      </c>
      <c r="I50" s="74">
        <f>IF(F50,NOMBRES_DE_PERSONNES,0)</f>
        <v>0</v>
      </c>
      <c r="J50" s="84">
        <f>I50</f>
        <v>0</v>
      </c>
      <c r="K50" s="76">
        <f>0.4*J50</f>
        <v>0</v>
      </c>
      <c r="L50" s="80" t="e">
        <f>SUM(K48:K50)</f>
        <v>#DIV/0!</v>
      </c>
    </row>
    <row r="51" spans="1:13" s="2" customFormat="1" ht="15" customHeight="1">
      <c r="B51" s="119" t="s">
        <v>47</v>
      </c>
      <c r="C51" s="61"/>
      <c r="D51" s="61"/>
      <c r="E51" s="61"/>
      <c r="F51" s="61"/>
      <c r="G51" s="61"/>
      <c r="H51" s="44"/>
      <c r="I51" s="43"/>
      <c r="K51" s="55"/>
    </row>
    <row r="52" spans="1:13" ht="5" customHeight="1">
      <c r="B52" s="120"/>
      <c r="C52" s="59"/>
      <c r="D52" s="59"/>
      <c r="E52" s="59"/>
      <c r="F52" s="59"/>
      <c r="G52" s="59"/>
      <c r="H52" s="28"/>
    </row>
    <row r="53" spans="1:13" ht="20" customHeight="1">
      <c r="B53" s="19" t="s">
        <v>48</v>
      </c>
      <c r="C53" s="16">
        <f>0.5</f>
        <v>0.5</v>
      </c>
      <c r="D53" s="17"/>
      <c r="E53" s="17" t="b">
        <v>0</v>
      </c>
      <c r="F53" s="17">
        <f t="shared" si="8"/>
        <v>0</v>
      </c>
      <c r="G53" s="17"/>
      <c r="H53" s="16">
        <f>IF(F53,NOMBRES_DE_PERSONNES*C53,0)</f>
        <v>0</v>
      </c>
      <c r="I53" s="65">
        <f>IF(F53,1,0)</f>
        <v>0</v>
      </c>
      <c r="J53" s="70">
        <f>I53</f>
        <v>0</v>
      </c>
      <c r="K53" s="66">
        <f>10*J53</f>
        <v>0</v>
      </c>
    </row>
    <row r="54" spans="1:13" ht="20" customHeight="1">
      <c r="B54" s="7" t="s">
        <v>49</v>
      </c>
      <c r="C54" s="8">
        <v>0.8</v>
      </c>
      <c r="D54" s="9"/>
      <c r="E54" s="9" t="b">
        <v>0</v>
      </c>
      <c r="F54" s="9">
        <f t="shared" si="8"/>
        <v>0</v>
      </c>
      <c r="G54" s="9"/>
      <c r="H54" s="8">
        <f>IF(F54,NOMBRES_DE_PERSONNES*C54,0)</f>
        <v>0</v>
      </c>
      <c r="I54" s="71">
        <f>IF(F54,NOMBRES_DE_PERSONNES*0.35,0)</f>
        <v>0</v>
      </c>
      <c r="J54" s="85">
        <f>I54</f>
        <v>0</v>
      </c>
      <c r="K54" s="68">
        <f>1.1*J54</f>
        <v>0</v>
      </c>
      <c r="L54" s="86">
        <f>J54</f>
        <v>0</v>
      </c>
      <c r="M54" s="86"/>
    </row>
    <row r="55" spans="1:13" ht="20" customHeight="1">
      <c r="B55" s="7" t="s">
        <v>50</v>
      </c>
      <c r="C55" s="8">
        <v>0.3</v>
      </c>
      <c r="D55" s="9"/>
      <c r="E55" s="9" t="b">
        <v>0</v>
      </c>
      <c r="F55" s="9">
        <f t="shared" si="8"/>
        <v>0</v>
      </c>
      <c r="G55" s="9"/>
      <c r="H55" s="8">
        <f>IF(F55,NOMBRES_DE_PERSONNES*C55,0)</f>
        <v>0</v>
      </c>
      <c r="I55" s="71">
        <f>IF(F55,NOMBRES_DE_PERSONNES*0.25,0)</f>
        <v>0</v>
      </c>
      <c r="J55" s="87">
        <f>I55</f>
        <v>0</v>
      </c>
      <c r="K55" s="68">
        <f>J55*0.24</f>
        <v>0</v>
      </c>
      <c r="L55" s="88">
        <f>J55/6</f>
        <v>0</v>
      </c>
      <c r="M55" s="88"/>
    </row>
    <row r="56" spans="1:13" ht="20" customHeight="1">
      <c r="B56" s="7" t="s">
        <v>51</v>
      </c>
      <c r="C56" s="8">
        <v>0.4</v>
      </c>
      <c r="D56" s="9"/>
      <c r="E56" s="9" t="b">
        <v>0</v>
      </c>
      <c r="F56" s="9">
        <f t="shared" ref="F56" si="13">IF(E56,1,0)</f>
        <v>0</v>
      </c>
      <c r="G56" s="9"/>
      <c r="H56" s="8">
        <f>IF(F56,NOMBRES_DE_PERSONNES*C56,0)</f>
        <v>0</v>
      </c>
      <c r="I56" s="71">
        <f>IF(F56,NOMBRES_DE_PERSONNES*0.25,0)</f>
        <v>0</v>
      </c>
      <c r="J56" s="87">
        <f>I56</f>
        <v>0</v>
      </c>
      <c r="K56" s="68">
        <f>J56*0.29</f>
        <v>0</v>
      </c>
      <c r="L56" s="88">
        <f>J56/6</f>
        <v>0</v>
      </c>
      <c r="M56" s="88"/>
    </row>
    <row r="57" spans="1:13" ht="20" customHeight="1">
      <c r="B57" s="7" t="s">
        <v>52</v>
      </c>
      <c r="C57" s="27">
        <f>0.5</f>
        <v>0.5</v>
      </c>
      <c r="D57" s="9"/>
      <c r="E57" s="9" t="b">
        <v>0</v>
      </c>
      <c r="F57" s="9">
        <f t="shared" si="8"/>
        <v>0</v>
      </c>
      <c r="G57" s="9"/>
      <c r="H57" s="8">
        <f>IF(F57,NOMBRES_DE_PERSONNES*C57,0)</f>
        <v>0</v>
      </c>
      <c r="I57" s="73">
        <f>IF(F57,NOMBRES_DE_PERSONNES*0.15,0)</f>
        <v>0</v>
      </c>
      <c r="J57" s="89">
        <f>I57/1</f>
        <v>0</v>
      </c>
      <c r="K57" s="69">
        <f>0.25*NOMBRES_DE_PERSONNES</f>
        <v>20</v>
      </c>
      <c r="L57" s="90">
        <f>J57</f>
        <v>0</v>
      </c>
      <c r="M57" t="s">
        <v>53</v>
      </c>
    </row>
    <row r="58" spans="1:13" s="2" customFormat="1" ht="15" customHeight="1">
      <c r="A58" s="95"/>
      <c r="B58" s="116" t="s">
        <v>54</v>
      </c>
      <c r="C58" s="96"/>
      <c r="D58" s="96"/>
      <c r="E58" s="96"/>
      <c r="F58" s="96"/>
      <c r="G58" s="96"/>
      <c r="H58" s="44"/>
      <c r="I58" s="5"/>
      <c r="J58" s="5"/>
      <c r="K58" s="5"/>
      <c r="L58" s="80">
        <f>SUM(K53:K57)</f>
        <v>20</v>
      </c>
      <c r="M58" s="5"/>
    </row>
    <row r="59" spans="1:13" ht="5" customHeight="1">
      <c r="A59" s="6"/>
      <c r="B59" s="117"/>
      <c r="C59" s="97"/>
      <c r="D59" s="97"/>
      <c r="E59" s="97"/>
      <c r="F59" s="97"/>
      <c r="G59" s="97"/>
      <c r="H59" s="28"/>
    </row>
    <row r="60" spans="1:13" ht="20" customHeight="1">
      <c r="B60" s="7" t="s">
        <v>55</v>
      </c>
      <c r="C60" s="8">
        <f>0.85*1.1</f>
        <v>0.93500000000000005</v>
      </c>
      <c r="D60" s="9"/>
      <c r="E60" s="9" t="b">
        <v>0</v>
      </c>
      <c r="F60" s="9">
        <f>IF(E60,1,0)</f>
        <v>0</v>
      </c>
      <c r="G60" s="9"/>
      <c r="H60" s="8">
        <f>IF(F60,NOMBRES_DE_PERSONNES*C60,0)</f>
        <v>0</v>
      </c>
      <c r="I60" s="65">
        <f>IF(F60,NOMBRES_DE_PERSONNES*1,0)</f>
        <v>0</v>
      </c>
      <c r="J60" s="91">
        <f>I60</f>
        <v>0</v>
      </c>
      <c r="K60" s="66">
        <f>0.29*J60</f>
        <v>0</v>
      </c>
    </row>
    <row r="61" spans="1:13" ht="20" customHeight="1">
      <c r="B61" s="7" t="s">
        <v>56</v>
      </c>
      <c r="C61" s="8">
        <f>0.8*1.1</f>
        <v>0.88000000000000012</v>
      </c>
      <c r="D61" s="9"/>
      <c r="E61" s="9" t="b">
        <v>0</v>
      </c>
      <c r="F61" s="9">
        <f t="shared" ref="F61" si="14">IF(E61,1,0)</f>
        <v>0</v>
      </c>
      <c r="G61" s="9"/>
      <c r="H61" s="8">
        <f>IF(F61,NOMBRES_DE_PERSONNES*0.7,0)</f>
        <v>0</v>
      </c>
      <c r="I61" s="71">
        <f>IF(F61,NOMBRES_DE_PERSONNES*0.05,0)</f>
        <v>0</v>
      </c>
      <c r="J61" s="87" t="e">
        <f>I61/SUM($F$16:$F$21)</f>
        <v>#DIV/0!</v>
      </c>
      <c r="K61" s="68" t="e">
        <f>10*J61</f>
        <v>#DIV/0!</v>
      </c>
    </row>
    <row r="62" spans="1:13" ht="20" customHeight="1">
      <c r="B62" s="18" t="s">
        <v>57</v>
      </c>
      <c r="C62" s="14">
        <f>0.65*K9</f>
        <v>0.7702500000000001</v>
      </c>
      <c r="D62" s="15"/>
      <c r="E62" s="15" t="b">
        <v>0</v>
      </c>
      <c r="F62" s="15">
        <f>IF(E62,1,0)</f>
        <v>0</v>
      </c>
      <c r="G62" s="15"/>
      <c r="H62" s="14">
        <f>IF(F62,NOMBRES_DE_PERSONNES*0.7,0)</f>
        <v>0</v>
      </c>
      <c r="I62" s="73">
        <f>IF(F62,NOMBRES_DE_PERSONNES*0.05,0)</f>
        <v>0</v>
      </c>
      <c r="J62" s="89" t="e">
        <f>I62/SUM($F$16:$F$21)</f>
        <v>#DIV/0!</v>
      </c>
      <c r="K62" s="69" t="e">
        <f>10*J62</f>
        <v>#DIV/0!</v>
      </c>
      <c r="L62" s="80" t="e">
        <f>SUM(K60:K62)</f>
        <v>#DIV/0!</v>
      </c>
    </row>
    <row r="63" spans="1:13" ht="20" customHeight="1">
      <c r="B63" s="22"/>
      <c r="C63" s="23"/>
      <c r="D63" s="21" t="s">
        <v>58</v>
      </c>
      <c r="E63" s="24"/>
      <c r="F63" s="21" t="s">
        <v>58</v>
      </c>
      <c r="G63" s="50"/>
      <c r="H63" s="25"/>
      <c r="I63" s="64" t="s">
        <v>14</v>
      </c>
      <c r="J63" s="64" t="s">
        <v>15</v>
      </c>
      <c r="K63"/>
    </row>
    <row r="64" spans="1:13" ht="20" customHeight="1">
      <c r="B64" s="19" t="s">
        <v>59</v>
      </c>
      <c r="C64" s="16">
        <v>12</v>
      </c>
      <c r="D64" s="39">
        <v>0</v>
      </c>
      <c r="E64" s="17" t="b">
        <v>0</v>
      </c>
      <c r="F64" s="39">
        <f>IF(E64,1,0)</f>
        <v>0</v>
      </c>
      <c r="G64" s="39"/>
      <c r="H64" s="16">
        <f>D64*10</f>
        <v>0</v>
      </c>
      <c r="I64" s="65">
        <f>IF(G64,D64,0)</f>
        <v>0</v>
      </c>
      <c r="J64" s="91">
        <f>I64</f>
        <v>0</v>
      </c>
      <c r="K64" s="66">
        <f>8*J64</f>
        <v>0</v>
      </c>
    </row>
    <row r="65" spans="2:14" ht="20" customHeight="1">
      <c r="B65" s="7" t="s">
        <v>60</v>
      </c>
      <c r="C65" s="8">
        <v>12</v>
      </c>
      <c r="D65" s="40">
        <v>0</v>
      </c>
      <c r="E65" s="9" t="b">
        <v>0</v>
      </c>
      <c r="F65" s="39">
        <f t="shared" ref="F65:F66" si="15">IF(E65,1,0)</f>
        <v>0</v>
      </c>
      <c r="G65" s="39"/>
      <c r="H65" s="16">
        <f t="shared" ref="H65:H66" si="16">D65*C65</f>
        <v>0</v>
      </c>
      <c r="I65" s="71">
        <f t="shared" ref="I65:I66" si="17">IF(G65,D65,0)</f>
        <v>0</v>
      </c>
      <c r="J65" s="87">
        <f t="shared" ref="J65:J66" si="18">I65</f>
        <v>0</v>
      </c>
      <c r="K65" s="68">
        <f>G65</f>
        <v>0</v>
      </c>
      <c r="M65" s="64" t="s">
        <v>61</v>
      </c>
      <c r="N65" s="64" t="s">
        <v>62</v>
      </c>
    </row>
    <row r="66" spans="2:14" ht="20" customHeight="1">
      <c r="B66" s="7" t="s">
        <v>63</v>
      </c>
      <c r="C66" s="8">
        <v>5</v>
      </c>
      <c r="D66" s="40">
        <v>0</v>
      </c>
      <c r="E66" s="9" t="b">
        <v>0</v>
      </c>
      <c r="F66" s="39">
        <f t="shared" si="15"/>
        <v>0</v>
      </c>
      <c r="G66" s="39"/>
      <c r="H66" s="16">
        <f t="shared" si="16"/>
        <v>0</v>
      </c>
      <c r="I66" s="73">
        <f t="shared" si="17"/>
        <v>0</v>
      </c>
      <c r="J66" s="89">
        <f t="shared" si="18"/>
        <v>0</v>
      </c>
      <c r="K66" s="69">
        <f>C66*D66</f>
        <v>0</v>
      </c>
      <c r="L66" s="80">
        <f>SUM(K64:K66)</f>
        <v>0</v>
      </c>
      <c r="M66" s="92" t="e">
        <f>L22+L26+L29+L41+L45+L50+L58+L62+L66</f>
        <v>#DIV/0!</v>
      </c>
      <c r="N66" s="93" t="e">
        <f>G9-M66</f>
        <v>#DIV/0!</v>
      </c>
    </row>
    <row r="67" spans="2:14">
      <c r="B67" s="11"/>
      <c r="C67" s="12"/>
      <c r="D67" s="13"/>
      <c r="H67" s="46"/>
    </row>
    <row r="68" spans="2:14">
      <c r="B68" s="1"/>
      <c r="H68" s="3"/>
    </row>
    <row r="69" spans="2:14">
      <c r="B69" s="1"/>
    </row>
    <row r="70" spans="2:14">
      <c r="B70" s="1"/>
    </row>
    <row r="71" spans="2:14">
      <c r="B71" s="1"/>
    </row>
    <row r="72" spans="2:14">
      <c r="B72" s="1"/>
    </row>
    <row r="73" spans="2:14">
      <c r="B73" s="1"/>
    </row>
    <row r="74" spans="2:14">
      <c r="B74" s="1"/>
    </row>
    <row r="75" spans="2:14">
      <c r="B75" s="1"/>
    </row>
    <row r="76" spans="2:14">
      <c r="B76" s="1"/>
    </row>
    <row r="77" spans="2:14">
      <c r="B77" s="1"/>
    </row>
    <row r="78" spans="2:14">
      <c r="B78" s="1"/>
    </row>
    <row r="79" spans="2:14">
      <c r="B79" s="1"/>
    </row>
    <row r="80" spans="2:14">
      <c r="B80" s="1"/>
    </row>
    <row r="81" spans="2:2">
      <c r="B81" s="1"/>
    </row>
    <row r="82" spans="2:2">
      <c r="B82" s="1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1"/>
    </row>
    <row r="96" spans="2:2">
      <c r="B96" s="1"/>
    </row>
    <row r="97" spans="2:2">
      <c r="B97" s="1"/>
    </row>
    <row r="98" spans="2:2">
      <c r="B98" s="1"/>
    </row>
    <row r="99" spans="2:2">
      <c r="B99" s="1"/>
    </row>
    <row r="100" spans="2:2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1"/>
    </row>
    <row r="110" spans="2:2">
      <c r="B110" s="1"/>
    </row>
    <row r="111" spans="2:2">
      <c r="B111" s="1"/>
    </row>
    <row r="112" spans="2:2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1"/>
    </row>
    <row r="125" spans="2:2">
      <c r="B125" s="1"/>
    </row>
    <row r="126" spans="2:2">
      <c r="B126" s="1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</sheetData>
  <dataConsolidate/>
  <mergeCells count="20">
    <mergeCell ref="B58:B59"/>
    <mergeCell ref="B13:H13"/>
    <mergeCell ref="B29:B30"/>
    <mergeCell ref="B34:B35"/>
    <mergeCell ref="B42:B43"/>
    <mergeCell ref="B46:B47"/>
    <mergeCell ref="B51:B52"/>
    <mergeCell ref="B14:H14"/>
    <mergeCell ref="B15:D16"/>
    <mergeCell ref="G15:G16"/>
    <mergeCell ref="B2:H2"/>
    <mergeCell ref="B7:B8"/>
    <mergeCell ref="C7:D8"/>
    <mergeCell ref="E7:F8"/>
    <mergeCell ref="H7:H8"/>
    <mergeCell ref="C6:D6"/>
    <mergeCell ref="E6:F6"/>
    <mergeCell ref="B3:H4"/>
    <mergeCell ref="B5:H5"/>
    <mergeCell ref="G7:G8"/>
  </mergeCells>
  <printOptions horizontalCentered="1"/>
  <pageMargins left="0" right="0" top="0" bottom="0" header="0" footer="0"/>
  <pageSetup paperSize="9" scale="76" orientation="portrait" horizontalDpi="0" verticalDpi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3" name="Check Box 8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22</xdr:row>
                    <xdr:rowOff>12700</xdr:rowOff>
                  </from>
                  <to>
                    <xdr:col>3</xdr:col>
                    <xdr:colOff>571500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4" name="Check Box 9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22</xdr:row>
                    <xdr:rowOff>241300</xdr:rowOff>
                  </from>
                  <to>
                    <xdr:col>3</xdr:col>
                    <xdr:colOff>571500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23</xdr:row>
                    <xdr:rowOff>241300</xdr:rowOff>
                  </from>
                  <to>
                    <xdr:col>3</xdr:col>
                    <xdr:colOff>571500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26</xdr:row>
                    <xdr:rowOff>0</xdr:rowOff>
                  </from>
                  <to>
                    <xdr:col>3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7" name="Check Box 13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30</xdr:row>
                    <xdr:rowOff>0</xdr:rowOff>
                  </from>
                  <to>
                    <xdr:col>3</xdr:col>
                    <xdr:colOff>571500</xdr:colOff>
                    <xdr:row>30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8" name="Check Box 14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31</xdr:row>
                    <xdr:rowOff>0</xdr:rowOff>
                  </from>
                  <to>
                    <xdr:col>3</xdr:col>
                    <xdr:colOff>571500</xdr:colOff>
                    <xdr:row>31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9" name="Check Box 15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32</xdr:row>
                    <xdr:rowOff>0</xdr:rowOff>
                  </from>
                  <to>
                    <xdr:col>3</xdr:col>
                    <xdr:colOff>571500</xdr:colOff>
                    <xdr:row>32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0" name="Check Box 19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35</xdr:row>
                    <xdr:rowOff>12700</xdr:rowOff>
                  </from>
                  <to>
                    <xdr:col>3</xdr:col>
                    <xdr:colOff>571500</xdr:colOff>
                    <xdr:row>35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1" name="Check Box 20">
              <controlPr locked="0" defaultSize="0" autoFill="0" autoLine="0" autoPict="0">
                <anchor moveWithCells="1">
                  <from>
                    <xdr:col>3</xdr:col>
                    <xdr:colOff>254000</xdr:colOff>
                    <xdr:row>36</xdr:row>
                    <xdr:rowOff>0</xdr:rowOff>
                  </from>
                  <to>
                    <xdr:col>3</xdr:col>
                    <xdr:colOff>558800</xdr:colOff>
                    <xdr:row>36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2" name="Check Box 21">
              <controlPr locked="0" defaultSize="0" autoFill="0" autoLine="0" autoPict="0">
                <anchor moveWithCells="1">
                  <from>
                    <xdr:col>3</xdr:col>
                    <xdr:colOff>254000</xdr:colOff>
                    <xdr:row>37</xdr:row>
                    <xdr:rowOff>12700</xdr:rowOff>
                  </from>
                  <to>
                    <xdr:col>3</xdr:col>
                    <xdr:colOff>558800</xdr:colOff>
                    <xdr:row>37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3" name="Check Box 22">
              <controlPr locked="0" defaultSize="0" autoFill="0" autoLine="0" autoPict="0">
                <anchor moveWithCells="1">
                  <from>
                    <xdr:col>3</xdr:col>
                    <xdr:colOff>254000</xdr:colOff>
                    <xdr:row>38</xdr:row>
                    <xdr:rowOff>25400</xdr:rowOff>
                  </from>
                  <to>
                    <xdr:col>3</xdr:col>
                    <xdr:colOff>558800</xdr:colOff>
                    <xdr:row>38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4" name="Check Box 23">
              <controlPr locked="0" defaultSize="0" autoFill="0" autoLine="0" autoPict="0">
                <anchor moveWithCells="1">
                  <from>
                    <xdr:col>3</xdr:col>
                    <xdr:colOff>254000</xdr:colOff>
                    <xdr:row>39</xdr:row>
                    <xdr:rowOff>25400</xdr:rowOff>
                  </from>
                  <to>
                    <xdr:col>3</xdr:col>
                    <xdr:colOff>558800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5" name="Check Box 24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43</xdr:row>
                    <xdr:rowOff>25400</xdr:rowOff>
                  </from>
                  <to>
                    <xdr:col>3</xdr:col>
                    <xdr:colOff>571500</xdr:colOff>
                    <xdr:row>43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6" name="Check Box 25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44</xdr:row>
                    <xdr:rowOff>25400</xdr:rowOff>
                  </from>
                  <to>
                    <xdr:col>3</xdr:col>
                    <xdr:colOff>571500</xdr:colOff>
                    <xdr:row>44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7" name="Check Box 26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47</xdr:row>
                    <xdr:rowOff>38100</xdr:rowOff>
                  </from>
                  <to>
                    <xdr:col>3</xdr:col>
                    <xdr:colOff>571500</xdr:colOff>
                    <xdr:row>47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8" name="Check Box 27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48</xdr:row>
                    <xdr:rowOff>25400</xdr:rowOff>
                  </from>
                  <to>
                    <xdr:col>3</xdr:col>
                    <xdr:colOff>571500</xdr:colOff>
                    <xdr:row>48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9" name="Check Box 28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49</xdr:row>
                    <xdr:rowOff>25400</xdr:rowOff>
                  </from>
                  <to>
                    <xdr:col>3</xdr:col>
                    <xdr:colOff>571500</xdr:colOff>
                    <xdr:row>49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0" name="Check Box 29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52</xdr:row>
                    <xdr:rowOff>12700</xdr:rowOff>
                  </from>
                  <to>
                    <xdr:col>3</xdr:col>
                    <xdr:colOff>571500</xdr:colOff>
                    <xdr:row>52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1" name="Check Box 30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53</xdr:row>
                    <xdr:rowOff>12700</xdr:rowOff>
                  </from>
                  <to>
                    <xdr:col>3</xdr:col>
                    <xdr:colOff>571500</xdr:colOff>
                    <xdr:row>53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2" name="Check Box 31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54</xdr:row>
                    <xdr:rowOff>12700</xdr:rowOff>
                  </from>
                  <to>
                    <xdr:col>3</xdr:col>
                    <xdr:colOff>571500</xdr:colOff>
                    <xdr:row>54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3" name="Check Box 32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56</xdr:row>
                    <xdr:rowOff>12700</xdr:rowOff>
                  </from>
                  <to>
                    <xdr:col>3</xdr:col>
                    <xdr:colOff>571500</xdr:colOff>
                    <xdr:row>56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24" name="Check Box 44">
              <controlPr locked="0" defaultSize="0" autoFill="0" autoLine="0" autoPict="0">
                <anchor moveWithCells="1">
                  <from>
                    <xdr:col>3</xdr:col>
                    <xdr:colOff>254000</xdr:colOff>
                    <xdr:row>40</xdr:row>
                    <xdr:rowOff>25400</xdr:rowOff>
                  </from>
                  <to>
                    <xdr:col>3</xdr:col>
                    <xdr:colOff>558800</xdr:colOff>
                    <xdr:row>40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5" name="Check Box 46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55</xdr:row>
                    <xdr:rowOff>12700</xdr:rowOff>
                  </from>
                  <to>
                    <xdr:col>3</xdr:col>
                    <xdr:colOff>571500</xdr:colOff>
                    <xdr:row>55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26" name="Check Box 1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61</xdr:row>
                    <xdr:rowOff>0</xdr:rowOff>
                  </from>
                  <to>
                    <xdr:col>3</xdr:col>
                    <xdr:colOff>533400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7" name="Check Box 6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59</xdr:row>
                    <xdr:rowOff>254000</xdr:rowOff>
                  </from>
                  <to>
                    <xdr:col>3</xdr:col>
                    <xdr:colOff>584200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28" name="Check Box 7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59</xdr:row>
                    <xdr:rowOff>0</xdr:rowOff>
                  </from>
                  <to>
                    <xdr:col>3</xdr:col>
                    <xdr:colOff>698500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29" name="Check Box 1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17</xdr:row>
                    <xdr:rowOff>0</xdr:rowOff>
                  </from>
                  <to>
                    <xdr:col>3</xdr:col>
                    <xdr:colOff>533400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30" name="Check Box 2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17</xdr:row>
                    <xdr:rowOff>228600</xdr:rowOff>
                  </from>
                  <to>
                    <xdr:col>3</xdr:col>
                    <xdr:colOff>546100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31" name="Check Box 3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19</xdr:row>
                    <xdr:rowOff>12700</xdr:rowOff>
                  </from>
                  <to>
                    <xdr:col>3</xdr:col>
                    <xdr:colOff>571500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32" name="Check Box 7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16</xdr:row>
                    <xdr:rowOff>0</xdr:rowOff>
                  </from>
                  <to>
                    <xdr:col>3</xdr:col>
                    <xdr:colOff>698500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33" name="Check Box 280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20</xdr:row>
                    <xdr:rowOff>0</xdr:rowOff>
                  </from>
                  <to>
                    <xdr:col>3</xdr:col>
                    <xdr:colOff>571500</xdr:colOff>
                    <xdr:row>20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34" name="Check Box 283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27</xdr:row>
                    <xdr:rowOff>0</xdr:rowOff>
                  </from>
                  <to>
                    <xdr:col>3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5</vt:i4>
      </vt:variant>
    </vt:vector>
  </HeadingPairs>
  <TitlesOfParts>
    <vt:vector size="6" baseType="lpstr">
      <vt:lpstr>BRUNCH</vt:lpstr>
      <vt:lpstr>NOMBRE_DE_PERSONNE_MINIMUN</vt:lpstr>
      <vt:lpstr>NOMBRES_DE_PERSONNES</vt:lpstr>
      <vt:lpstr>PRIX_MINI</vt:lpstr>
      <vt:lpstr>PRIX_PAR_PERSONNE</vt:lpstr>
      <vt:lpstr>BRUNCH!Zone_d_impression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Laurent PARMENTIER</dc:creator>
  <cp:keywords/>
  <dc:description/>
  <cp:lastModifiedBy>Laurent PARMENTIER</cp:lastModifiedBy>
  <cp:revision/>
  <dcterms:created xsi:type="dcterms:W3CDTF">2018-02-02T06:36:53Z</dcterms:created>
  <dcterms:modified xsi:type="dcterms:W3CDTF">2024-01-08T08:20:50Z</dcterms:modified>
  <cp:category/>
  <cp:contentStatus/>
</cp:coreProperties>
</file>